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Marit\Desktop\Ny web\Agnes\"/>
    </mc:Choice>
  </mc:AlternateContent>
  <xr:revisionPtr revIDLastSave="0" documentId="8_{C185E702-8C74-44B8-BB20-E86C87E3730A}" xr6:coauthVersionLast="45" xr6:coauthVersionMax="45" xr10:uidLastSave="{00000000-0000-0000-0000-000000000000}"/>
  <bookViews>
    <workbookView xWindow="768" yWindow="768" windowWidth="17280" windowHeight="9024" xr2:uid="{00000000-000D-0000-FFFF-FFFF00000000}"/>
  </bookViews>
  <sheets>
    <sheet name="Åtgärdslista" sheetId="1" r:id="rId1"/>
    <sheet name="Åtgärdslista Nuvärde" sheetId="2" r:id="rId2"/>
    <sheet name="Nuvärdesberäkning år" sheetId="5" r:id="rId3"/>
    <sheet name="Instruktioner" sheetId="6" r:id="rId4"/>
    <sheet name="Stor bild" sheetId="4" r:id="rId5"/>
    <sheet name="Data" sheetId="3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8" i="2" l="1"/>
  <c r="S21" i="2"/>
  <c r="S22" i="2"/>
  <c r="S23" i="2"/>
  <c r="S24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R17" i="2"/>
  <c r="R18" i="2"/>
  <c r="R21" i="2"/>
  <c r="R22" i="2"/>
  <c r="R23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6" i="2"/>
  <c r="R67" i="2"/>
  <c r="R68" i="2"/>
  <c r="R69" i="2"/>
  <c r="R70" i="2"/>
  <c r="R71" i="2"/>
  <c r="R72" i="2"/>
  <c r="R73" i="2"/>
  <c r="R74" i="2"/>
  <c r="R75" i="2"/>
  <c r="H15" i="4" l="1"/>
  <c r="G15" i="4"/>
  <c r="H14" i="4"/>
  <c r="G14" i="4"/>
  <c r="H13" i="4"/>
  <c r="G13" i="4"/>
  <c r="H12" i="4"/>
  <c r="G12" i="4"/>
  <c r="C18" i="2"/>
  <c r="D18" i="2"/>
  <c r="J18" i="2" s="1"/>
  <c r="E18" i="2"/>
  <c r="C19" i="2"/>
  <c r="D19" i="2"/>
  <c r="J19" i="2" s="1"/>
  <c r="E19" i="2"/>
  <c r="C20" i="2"/>
  <c r="D20" i="2"/>
  <c r="J20" i="2" s="1"/>
  <c r="E20" i="2"/>
  <c r="C21" i="2"/>
  <c r="D21" i="2"/>
  <c r="J21" i="2" s="1"/>
  <c r="E21" i="2"/>
  <c r="C22" i="2"/>
  <c r="D22" i="2"/>
  <c r="J22" i="2" s="1"/>
  <c r="E22" i="2"/>
  <c r="C23" i="2"/>
  <c r="D23" i="2"/>
  <c r="J23" i="2" s="1"/>
  <c r="E23" i="2"/>
  <c r="C24" i="2"/>
  <c r="D24" i="2"/>
  <c r="J24" i="2" s="1"/>
  <c r="E24" i="2"/>
  <c r="C25" i="2"/>
  <c r="D25" i="2"/>
  <c r="J25" i="2" s="1"/>
  <c r="E25" i="2"/>
  <c r="C26" i="2"/>
  <c r="D26" i="2"/>
  <c r="J26" i="2" s="1"/>
  <c r="E26" i="2"/>
  <c r="C27" i="2"/>
  <c r="D27" i="2"/>
  <c r="J27" i="2" s="1"/>
  <c r="E27" i="2"/>
  <c r="C28" i="2"/>
  <c r="D28" i="2"/>
  <c r="J28" i="2" s="1"/>
  <c r="E28" i="2"/>
  <c r="C29" i="2"/>
  <c r="D29" i="2"/>
  <c r="J29" i="2" s="1"/>
  <c r="E29" i="2"/>
  <c r="C30" i="2"/>
  <c r="D30" i="2"/>
  <c r="J30" i="2" s="1"/>
  <c r="E30" i="2"/>
  <c r="C31" i="2"/>
  <c r="D31" i="2"/>
  <c r="J31" i="2" s="1"/>
  <c r="E31" i="2"/>
  <c r="C32" i="2"/>
  <c r="D32" i="2"/>
  <c r="J32" i="2" s="1"/>
  <c r="E32" i="2"/>
  <c r="C33" i="2"/>
  <c r="D33" i="2"/>
  <c r="J33" i="2" s="1"/>
  <c r="E33" i="2"/>
  <c r="C34" i="2"/>
  <c r="D34" i="2"/>
  <c r="J34" i="2" s="1"/>
  <c r="E34" i="2"/>
  <c r="C35" i="2"/>
  <c r="D35" i="2"/>
  <c r="J35" i="2" s="1"/>
  <c r="E35" i="2"/>
  <c r="C36" i="2"/>
  <c r="D36" i="2"/>
  <c r="J36" i="2" s="1"/>
  <c r="E36" i="2"/>
  <c r="C37" i="2"/>
  <c r="D37" i="2"/>
  <c r="J37" i="2" s="1"/>
  <c r="E37" i="2"/>
  <c r="C38" i="2"/>
  <c r="D38" i="2"/>
  <c r="J38" i="2" s="1"/>
  <c r="E38" i="2"/>
  <c r="C39" i="2"/>
  <c r="D39" i="2"/>
  <c r="J39" i="2" s="1"/>
  <c r="E39" i="2"/>
  <c r="C40" i="2"/>
  <c r="D40" i="2"/>
  <c r="J40" i="2" s="1"/>
  <c r="E40" i="2"/>
  <c r="C41" i="2"/>
  <c r="D41" i="2"/>
  <c r="J41" i="2" s="1"/>
  <c r="E41" i="2"/>
  <c r="C42" i="2"/>
  <c r="D42" i="2"/>
  <c r="J42" i="2" s="1"/>
  <c r="E42" i="2"/>
  <c r="C43" i="2"/>
  <c r="D43" i="2"/>
  <c r="J43" i="2" s="1"/>
  <c r="E43" i="2"/>
  <c r="C44" i="2"/>
  <c r="D44" i="2"/>
  <c r="J44" i="2" s="1"/>
  <c r="E44" i="2"/>
  <c r="C45" i="2"/>
  <c r="D45" i="2"/>
  <c r="J45" i="2" s="1"/>
  <c r="E45" i="2"/>
  <c r="C46" i="2"/>
  <c r="D46" i="2"/>
  <c r="J46" i="2" s="1"/>
  <c r="E46" i="2"/>
  <c r="C47" i="2"/>
  <c r="D47" i="2"/>
  <c r="J47" i="2" s="1"/>
  <c r="E47" i="2"/>
  <c r="C48" i="2"/>
  <c r="D48" i="2"/>
  <c r="J48" i="2" s="1"/>
  <c r="E48" i="2"/>
  <c r="C49" i="2"/>
  <c r="D49" i="2"/>
  <c r="J49" i="2" s="1"/>
  <c r="E49" i="2"/>
  <c r="C50" i="2"/>
  <c r="D50" i="2"/>
  <c r="J50" i="2" s="1"/>
  <c r="E50" i="2"/>
  <c r="C51" i="2"/>
  <c r="D51" i="2"/>
  <c r="J51" i="2" s="1"/>
  <c r="E51" i="2"/>
  <c r="C52" i="2"/>
  <c r="D52" i="2"/>
  <c r="J52" i="2" s="1"/>
  <c r="E52" i="2"/>
  <c r="C53" i="2"/>
  <c r="D53" i="2"/>
  <c r="J53" i="2" s="1"/>
  <c r="E53" i="2"/>
  <c r="C54" i="2"/>
  <c r="D54" i="2"/>
  <c r="J54" i="2" s="1"/>
  <c r="E54" i="2"/>
  <c r="C55" i="2"/>
  <c r="D55" i="2"/>
  <c r="J55" i="2" s="1"/>
  <c r="E55" i="2"/>
  <c r="C56" i="2"/>
  <c r="D56" i="2"/>
  <c r="J56" i="2" s="1"/>
  <c r="E56" i="2"/>
  <c r="C57" i="2"/>
  <c r="D57" i="2"/>
  <c r="J57" i="2" s="1"/>
  <c r="E57" i="2"/>
  <c r="C58" i="2"/>
  <c r="D58" i="2"/>
  <c r="J58" i="2" s="1"/>
  <c r="E58" i="2"/>
  <c r="C59" i="2"/>
  <c r="D59" i="2"/>
  <c r="J59" i="2" s="1"/>
  <c r="E59" i="2"/>
  <c r="C60" i="2"/>
  <c r="D60" i="2"/>
  <c r="J60" i="2" s="1"/>
  <c r="E60" i="2"/>
  <c r="C61" i="2"/>
  <c r="D61" i="2"/>
  <c r="J61" i="2" s="1"/>
  <c r="E61" i="2"/>
  <c r="C62" i="2"/>
  <c r="D62" i="2"/>
  <c r="J62" i="2" s="1"/>
  <c r="E62" i="2"/>
  <c r="C63" i="2"/>
  <c r="D63" i="2"/>
  <c r="J63" i="2" s="1"/>
  <c r="E63" i="2"/>
  <c r="C64" i="2"/>
  <c r="D64" i="2"/>
  <c r="J64" i="2" s="1"/>
  <c r="E64" i="2"/>
  <c r="C65" i="2"/>
  <c r="D65" i="2"/>
  <c r="J65" i="2" s="1"/>
  <c r="E65" i="2"/>
  <c r="C66" i="2"/>
  <c r="D66" i="2"/>
  <c r="J66" i="2" s="1"/>
  <c r="E66" i="2"/>
  <c r="C67" i="2"/>
  <c r="D67" i="2"/>
  <c r="J67" i="2" s="1"/>
  <c r="E67" i="2"/>
  <c r="C68" i="2"/>
  <c r="D68" i="2"/>
  <c r="J68" i="2" s="1"/>
  <c r="E68" i="2"/>
  <c r="C69" i="2"/>
  <c r="D69" i="2"/>
  <c r="J69" i="2" s="1"/>
  <c r="E69" i="2"/>
  <c r="C70" i="2"/>
  <c r="D70" i="2"/>
  <c r="J70" i="2" s="1"/>
  <c r="E70" i="2"/>
  <c r="C71" i="2"/>
  <c r="D71" i="2"/>
  <c r="J71" i="2" s="1"/>
  <c r="E71" i="2"/>
  <c r="C72" i="2"/>
  <c r="D72" i="2"/>
  <c r="J72" i="2" s="1"/>
  <c r="E72" i="2"/>
  <c r="C73" i="2"/>
  <c r="D73" i="2"/>
  <c r="J73" i="2" s="1"/>
  <c r="E73" i="2"/>
  <c r="C74" i="2"/>
  <c r="D74" i="2"/>
  <c r="J74" i="2" s="1"/>
  <c r="E74" i="2"/>
  <c r="C75" i="2"/>
  <c r="D75" i="2"/>
  <c r="J75" i="2" s="1"/>
  <c r="E75" i="2"/>
  <c r="E17" i="2"/>
  <c r="C17" i="2"/>
  <c r="D17" i="2"/>
  <c r="J17" i="2" s="1"/>
  <c r="L13" i="2"/>
  <c r="P12" i="2" s="1"/>
  <c r="W18" i="2"/>
  <c r="W21" i="2"/>
  <c r="W23" i="2"/>
  <c r="W29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V18" i="2"/>
  <c r="V21" i="2"/>
  <c r="V23" i="2"/>
  <c r="V29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T18" i="2"/>
  <c r="U18" i="2"/>
  <c r="T21" i="2"/>
  <c r="U21" i="2"/>
  <c r="T23" i="2"/>
  <c r="U23" i="2"/>
  <c r="T29" i="2"/>
  <c r="U29" i="2"/>
  <c r="T30" i="2"/>
  <c r="U30" i="2"/>
  <c r="T31" i="2"/>
  <c r="U31" i="2"/>
  <c r="T32" i="2"/>
  <c r="U32" i="2"/>
  <c r="T33" i="2"/>
  <c r="U33" i="2"/>
  <c r="T34" i="2"/>
  <c r="U34" i="2"/>
  <c r="T35" i="2"/>
  <c r="U35" i="2"/>
  <c r="T36" i="2"/>
  <c r="U36" i="2"/>
  <c r="T37" i="2"/>
  <c r="U37" i="2"/>
  <c r="T38" i="2"/>
  <c r="U38" i="2"/>
  <c r="T39" i="2"/>
  <c r="U39" i="2"/>
  <c r="T40" i="2"/>
  <c r="U40" i="2"/>
  <c r="T41" i="2"/>
  <c r="U41" i="2"/>
  <c r="T42" i="2"/>
  <c r="U42" i="2"/>
  <c r="T43" i="2"/>
  <c r="U43" i="2"/>
  <c r="T44" i="2"/>
  <c r="U44" i="2"/>
  <c r="T47" i="2"/>
  <c r="U47" i="2"/>
  <c r="T48" i="2"/>
  <c r="U48" i="2"/>
  <c r="T49" i="2"/>
  <c r="U49" i="2"/>
  <c r="T50" i="2"/>
  <c r="U50" i="2"/>
  <c r="T51" i="2"/>
  <c r="U51" i="2"/>
  <c r="T52" i="2"/>
  <c r="U52" i="2"/>
  <c r="T53" i="2"/>
  <c r="U53" i="2"/>
  <c r="T54" i="2"/>
  <c r="U54" i="2"/>
  <c r="T55" i="2"/>
  <c r="U55" i="2"/>
  <c r="T56" i="2"/>
  <c r="U56" i="2"/>
  <c r="T57" i="2"/>
  <c r="U57" i="2"/>
  <c r="T58" i="2"/>
  <c r="U58" i="2"/>
  <c r="T59" i="2"/>
  <c r="U59" i="2"/>
  <c r="T60" i="2"/>
  <c r="U60" i="2"/>
  <c r="T61" i="2"/>
  <c r="U61" i="2"/>
  <c r="T62" i="2"/>
  <c r="U62" i="2"/>
  <c r="T63" i="2"/>
  <c r="U63" i="2"/>
  <c r="T64" i="2"/>
  <c r="U64" i="2"/>
  <c r="T65" i="2"/>
  <c r="U65" i="2"/>
  <c r="T66" i="2"/>
  <c r="U66" i="2"/>
  <c r="T67" i="2"/>
  <c r="U67" i="2"/>
  <c r="T68" i="2"/>
  <c r="U68" i="2"/>
  <c r="T69" i="2"/>
  <c r="U69" i="2"/>
  <c r="T70" i="2"/>
  <c r="U70" i="2"/>
  <c r="T71" i="2"/>
  <c r="U71" i="2"/>
  <c r="T72" i="2"/>
  <c r="U72" i="2"/>
  <c r="T73" i="2"/>
  <c r="U73" i="2"/>
  <c r="T74" i="2"/>
  <c r="U74" i="2"/>
  <c r="T75" i="2"/>
  <c r="U75" i="2"/>
  <c r="P18" i="2"/>
  <c r="Q18" i="2"/>
  <c r="P21" i="2"/>
  <c r="Q21" i="2"/>
  <c r="P23" i="2"/>
  <c r="Q23" i="2"/>
  <c r="P27" i="2"/>
  <c r="Q27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P54" i="2"/>
  <c r="Q54" i="2"/>
  <c r="P55" i="2"/>
  <c r="Q55" i="2"/>
  <c r="P56" i="2"/>
  <c r="Q56" i="2"/>
  <c r="P57" i="2"/>
  <c r="Q57" i="2"/>
  <c r="P58" i="2"/>
  <c r="Q58" i="2"/>
  <c r="P59" i="2"/>
  <c r="Q59" i="2"/>
  <c r="P60" i="2"/>
  <c r="Q60" i="2"/>
  <c r="P61" i="2"/>
  <c r="Q61" i="2"/>
  <c r="P62" i="2"/>
  <c r="Q62" i="2"/>
  <c r="P63" i="2"/>
  <c r="Q63" i="2"/>
  <c r="P64" i="2"/>
  <c r="Q64" i="2"/>
  <c r="P65" i="2"/>
  <c r="Q65" i="2"/>
  <c r="P66" i="2"/>
  <c r="Q66" i="2"/>
  <c r="P67" i="2"/>
  <c r="Q67" i="2"/>
  <c r="P68" i="2"/>
  <c r="Q68" i="2"/>
  <c r="P69" i="2"/>
  <c r="Q69" i="2"/>
  <c r="P70" i="2"/>
  <c r="Q70" i="2"/>
  <c r="P71" i="2"/>
  <c r="Q71" i="2"/>
  <c r="P72" i="2"/>
  <c r="Q72" i="2"/>
  <c r="P73" i="2"/>
  <c r="Q73" i="2"/>
  <c r="P74" i="2"/>
  <c r="Q74" i="2"/>
  <c r="P75" i="2"/>
  <c r="Q75" i="2"/>
  <c r="O13" i="2"/>
  <c r="V12" i="2" s="1"/>
  <c r="N13" i="2"/>
  <c r="T12" i="2" s="1"/>
  <c r="M13" i="2"/>
  <c r="R12" i="2" s="1"/>
  <c r="D8" i="3" l="1"/>
  <c r="D9" i="3"/>
  <c r="D10" i="3"/>
  <c r="D7" i="3"/>
  <c r="E17" i="3"/>
  <c r="T13" i="1" l="1"/>
  <c r="G17" i="2" s="1"/>
  <c r="U13" i="1"/>
  <c r="H17" i="2" s="1"/>
  <c r="W13" i="1"/>
  <c r="T14" i="1"/>
  <c r="G18" i="2" s="1"/>
  <c r="U14" i="1"/>
  <c r="H18" i="2" s="1"/>
  <c r="W14" i="1"/>
  <c r="T15" i="1"/>
  <c r="U15" i="1"/>
  <c r="W15" i="1"/>
  <c r="T16" i="1"/>
  <c r="U16" i="1"/>
  <c r="W16" i="1"/>
  <c r="T17" i="1"/>
  <c r="G21" i="2" s="1"/>
  <c r="U17" i="1"/>
  <c r="H21" i="2" s="1"/>
  <c r="W17" i="1"/>
  <c r="T18" i="1"/>
  <c r="G22" i="2" s="1"/>
  <c r="U18" i="1"/>
  <c r="H22" i="2" s="1"/>
  <c r="W18" i="1"/>
  <c r="T19" i="1"/>
  <c r="G23" i="2" s="1"/>
  <c r="U19" i="1"/>
  <c r="H23" i="2" s="1"/>
  <c r="W19" i="1"/>
  <c r="T20" i="1"/>
  <c r="G24" i="2" s="1"/>
  <c r="U20" i="1"/>
  <c r="H24" i="2" s="1"/>
  <c r="W20" i="1"/>
  <c r="T21" i="1"/>
  <c r="U21" i="1"/>
  <c r="W21" i="1"/>
  <c r="T22" i="1"/>
  <c r="U22" i="1"/>
  <c r="W22" i="1"/>
  <c r="T23" i="1"/>
  <c r="G27" i="2" s="1"/>
  <c r="U23" i="1"/>
  <c r="W23" i="1"/>
  <c r="T24" i="1"/>
  <c r="G28" i="2" s="1"/>
  <c r="U24" i="1"/>
  <c r="H28" i="2" s="1"/>
  <c r="W24" i="1"/>
  <c r="T25" i="1"/>
  <c r="G29" i="2" s="1"/>
  <c r="U25" i="1"/>
  <c r="H29" i="2" s="1"/>
  <c r="W25" i="1"/>
  <c r="T26" i="1"/>
  <c r="U26" i="1"/>
  <c r="W26" i="1"/>
  <c r="T27" i="1"/>
  <c r="U27" i="1"/>
  <c r="W27" i="1"/>
  <c r="T28" i="1"/>
  <c r="G32" i="2" s="1"/>
  <c r="U28" i="1"/>
  <c r="H32" i="2" s="1"/>
  <c r="W28" i="1"/>
  <c r="T29" i="1"/>
  <c r="G33" i="2" s="1"/>
  <c r="U29" i="1"/>
  <c r="H33" i="2" s="1"/>
  <c r="W29" i="1"/>
  <c r="T30" i="1"/>
  <c r="G34" i="2" s="1"/>
  <c r="U30" i="1"/>
  <c r="H34" i="2" s="1"/>
  <c r="W30" i="1"/>
  <c r="T31" i="1"/>
  <c r="G35" i="2" s="1"/>
  <c r="U31" i="1"/>
  <c r="H35" i="2" s="1"/>
  <c r="W31" i="1"/>
  <c r="T32" i="1"/>
  <c r="G36" i="2" s="1"/>
  <c r="U32" i="1"/>
  <c r="H36" i="2" s="1"/>
  <c r="W32" i="1"/>
  <c r="T33" i="1"/>
  <c r="G37" i="2" s="1"/>
  <c r="U33" i="1"/>
  <c r="H37" i="2" s="1"/>
  <c r="W33" i="1"/>
  <c r="T34" i="1"/>
  <c r="G38" i="2" s="1"/>
  <c r="U34" i="1"/>
  <c r="H38" i="2" s="1"/>
  <c r="W34" i="1"/>
  <c r="T35" i="1"/>
  <c r="G39" i="2" s="1"/>
  <c r="U35" i="1"/>
  <c r="H39" i="2" s="1"/>
  <c r="W35" i="1"/>
  <c r="T36" i="1"/>
  <c r="G40" i="2" s="1"/>
  <c r="U36" i="1"/>
  <c r="H40" i="2" s="1"/>
  <c r="W36" i="1"/>
  <c r="T37" i="1"/>
  <c r="G41" i="2" s="1"/>
  <c r="U37" i="1"/>
  <c r="H41" i="2" s="1"/>
  <c r="W37" i="1"/>
  <c r="T38" i="1"/>
  <c r="G42" i="2" s="1"/>
  <c r="U38" i="1"/>
  <c r="H42" i="2" s="1"/>
  <c r="W38" i="1"/>
  <c r="T39" i="1"/>
  <c r="G43" i="2" s="1"/>
  <c r="U39" i="1"/>
  <c r="H43" i="2" s="1"/>
  <c r="W39" i="1"/>
  <c r="T40" i="1"/>
  <c r="G44" i="2" s="1"/>
  <c r="U40" i="1"/>
  <c r="H44" i="2" s="1"/>
  <c r="W40" i="1"/>
  <c r="T41" i="1"/>
  <c r="G45" i="2" s="1"/>
  <c r="U41" i="1"/>
  <c r="W41" i="1"/>
  <c r="T42" i="1"/>
  <c r="G46" i="2" s="1"/>
  <c r="U42" i="1"/>
  <c r="W42" i="1"/>
  <c r="T43" i="1"/>
  <c r="G47" i="2" s="1"/>
  <c r="U43" i="1"/>
  <c r="H47" i="2" s="1"/>
  <c r="W43" i="1"/>
  <c r="T44" i="1"/>
  <c r="G48" i="2" s="1"/>
  <c r="U44" i="1"/>
  <c r="H48" i="2" s="1"/>
  <c r="W44" i="1"/>
  <c r="K37" i="2" l="1"/>
  <c r="K33" i="2"/>
  <c r="K29" i="2"/>
  <c r="K21" i="2"/>
  <c r="K41" i="2"/>
  <c r="K18" i="2"/>
  <c r="K39" i="2"/>
  <c r="K35" i="2"/>
  <c r="K23" i="2"/>
  <c r="K42" i="2"/>
  <c r="K38" i="2"/>
  <c r="K34" i="2"/>
  <c r="K22" i="2"/>
  <c r="K47" i="2"/>
  <c r="K43" i="2"/>
  <c r="K48" i="2"/>
  <c r="K44" i="2"/>
  <c r="K40" i="2"/>
  <c r="K36" i="2"/>
  <c r="K32" i="2"/>
  <c r="K28" i="2"/>
  <c r="K24" i="2"/>
  <c r="K17" i="2"/>
  <c r="H20" i="2"/>
  <c r="S20" i="2" s="1"/>
  <c r="H31" i="2"/>
  <c r="W31" i="2" s="1"/>
  <c r="H27" i="2"/>
  <c r="S27" i="2" s="1"/>
  <c r="H45" i="2"/>
  <c r="S45" i="2" s="1"/>
  <c r="H25" i="2"/>
  <c r="S25" i="2" s="1"/>
  <c r="H19" i="2"/>
  <c r="Q19" i="2" s="1"/>
  <c r="H46" i="2"/>
  <c r="S46" i="2" s="1"/>
  <c r="H30" i="2"/>
  <c r="H26" i="2"/>
  <c r="S26" i="2" s="1"/>
  <c r="G20" i="2"/>
  <c r="G31" i="2"/>
  <c r="G19" i="2"/>
  <c r="G30" i="2"/>
  <c r="G26" i="2"/>
  <c r="G25" i="2"/>
  <c r="W17" i="2"/>
  <c r="S17" i="2"/>
  <c r="Q17" i="2"/>
  <c r="U17" i="2"/>
  <c r="V17" i="2"/>
  <c r="P17" i="2"/>
  <c r="T17" i="2"/>
  <c r="P24" i="2"/>
  <c r="R24" i="2"/>
  <c r="Q46" i="2"/>
  <c r="V46" i="2"/>
  <c r="P46" i="2"/>
  <c r="T46" i="2"/>
  <c r="Q45" i="2"/>
  <c r="V27" i="2"/>
  <c r="T27" i="2"/>
  <c r="P45" i="2"/>
  <c r="T45" i="2"/>
  <c r="V26" i="2"/>
  <c r="I47" i="2"/>
  <c r="I21" i="2"/>
  <c r="I18" i="2"/>
  <c r="I44" i="2"/>
  <c r="I41" i="2"/>
  <c r="I34" i="2"/>
  <c r="I42" i="2"/>
  <c r="I39" i="2"/>
  <c r="I36" i="2"/>
  <c r="I33" i="2"/>
  <c r="I43" i="2"/>
  <c r="I40" i="2"/>
  <c r="I37" i="2"/>
  <c r="I24" i="2"/>
  <c r="Q24" i="2"/>
  <c r="W25" i="2"/>
  <c r="T20" i="2"/>
  <c r="V20" i="2"/>
  <c r="V28" i="2"/>
  <c r="T28" i="2"/>
  <c r="V25" i="2"/>
  <c r="T22" i="2"/>
  <c r="V22" i="2"/>
  <c r="I17" i="2"/>
  <c r="I28" i="2"/>
  <c r="U28" i="2"/>
  <c r="W28" i="2"/>
  <c r="W22" i="2"/>
  <c r="U22" i="2"/>
  <c r="I22" i="2"/>
  <c r="I48" i="2"/>
  <c r="I38" i="2"/>
  <c r="I35" i="2"/>
  <c r="I32" i="2"/>
  <c r="I29" i="2"/>
  <c r="I23" i="2"/>
  <c r="W24" i="2"/>
  <c r="U24" i="2"/>
  <c r="V24" i="2"/>
  <c r="T24" i="2"/>
  <c r="Q28" i="2"/>
  <c r="Q22" i="2"/>
  <c r="P20" i="2"/>
  <c r="P28" i="2"/>
  <c r="P22" i="2"/>
  <c r="V44" i="1"/>
  <c r="V36" i="1"/>
  <c r="V28" i="1"/>
  <c r="V20" i="1"/>
  <c r="V16" i="1"/>
  <c r="V40" i="1"/>
  <c r="V32" i="1"/>
  <c r="V24" i="1"/>
  <c r="V17" i="1"/>
  <c r="V22" i="1"/>
  <c r="V14" i="1"/>
  <c r="V42" i="1"/>
  <c r="V26" i="1"/>
  <c r="V39" i="1"/>
  <c r="V37" i="1"/>
  <c r="V35" i="1"/>
  <c r="V33" i="1"/>
  <c r="V31" i="1"/>
  <c r="V29" i="1"/>
  <c r="V38" i="1"/>
  <c r="V30" i="1"/>
  <c r="V23" i="1"/>
  <c r="V21" i="1"/>
  <c r="V19" i="1"/>
  <c r="V15" i="1"/>
  <c r="V13" i="1"/>
  <c r="V43" i="1"/>
  <c r="V41" i="1"/>
  <c r="V34" i="1"/>
  <c r="V27" i="1"/>
  <c r="V25" i="1"/>
  <c r="V18" i="1"/>
  <c r="I20" i="2" l="1"/>
  <c r="U20" i="2"/>
  <c r="U25" i="2"/>
  <c r="Q20" i="2"/>
  <c r="Q26" i="2"/>
  <c r="W20" i="2"/>
  <c r="I46" i="2"/>
  <c r="Q25" i="2"/>
  <c r="W26" i="2"/>
  <c r="T25" i="2"/>
  <c r="K25" i="2"/>
  <c r="I31" i="2"/>
  <c r="K31" i="2"/>
  <c r="K27" i="2"/>
  <c r="R19" i="2"/>
  <c r="K19" i="2"/>
  <c r="K45" i="2"/>
  <c r="I26" i="2"/>
  <c r="U26" i="2"/>
  <c r="W27" i="2"/>
  <c r="R26" i="2"/>
  <c r="K26" i="2"/>
  <c r="R20" i="2"/>
  <c r="K20" i="2"/>
  <c r="V30" i="2"/>
  <c r="V15" i="2" s="1"/>
  <c r="K30" i="2"/>
  <c r="K46" i="2"/>
  <c r="U46" i="2"/>
  <c r="I27" i="2"/>
  <c r="T26" i="2"/>
  <c r="U27" i="2"/>
  <c r="W46" i="2"/>
  <c r="P19" i="2"/>
  <c r="V19" i="2"/>
  <c r="U45" i="2"/>
  <c r="T19" i="2"/>
  <c r="I30" i="2"/>
  <c r="W19" i="2"/>
  <c r="I45" i="2"/>
  <c r="W30" i="2"/>
  <c r="S19" i="2"/>
  <c r="U19" i="2"/>
  <c r="I25" i="2"/>
  <c r="I19" i="2"/>
  <c r="S15" i="2"/>
  <c r="M15" i="2" s="1"/>
  <c r="R25" i="2"/>
  <c r="V31" i="2"/>
  <c r="P25" i="2"/>
  <c r="P26" i="2"/>
  <c r="AI10" i="3"/>
  <c r="AM10" i="3"/>
  <c r="AQ10" i="3"/>
  <c r="AU10" i="3"/>
  <c r="AY10" i="3"/>
  <c r="AJ10" i="3"/>
  <c r="AN10" i="3"/>
  <c r="AR10" i="3"/>
  <c r="AV10" i="3"/>
  <c r="AZ10" i="3"/>
  <c r="AK10" i="3"/>
  <c r="AO10" i="3"/>
  <c r="AS10" i="3"/>
  <c r="AW10" i="3"/>
  <c r="BA10" i="3"/>
  <c r="AL10" i="3"/>
  <c r="AP10" i="3"/>
  <c r="AT10" i="3"/>
  <c r="AX10" i="3"/>
  <c r="BB10" i="3"/>
  <c r="AA9" i="3"/>
  <c r="AE9" i="3"/>
  <c r="AI9" i="3"/>
  <c r="AM9" i="3"/>
  <c r="AQ9" i="3"/>
  <c r="AU9" i="3"/>
  <c r="AY9" i="3"/>
  <c r="AB9" i="3"/>
  <c r="AF9" i="3"/>
  <c r="AJ9" i="3"/>
  <c r="AN9" i="3"/>
  <c r="AR9" i="3"/>
  <c r="AV9" i="3"/>
  <c r="AZ9" i="3"/>
  <c r="Y9" i="3"/>
  <c r="AC9" i="3"/>
  <c r="AG9" i="3"/>
  <c r="AK9" i="3"/>
  <c r="AO9" i="3"/>
  <c r="AS9" i="3"/>
  <c r="AW9" i="3"/>
  <c r="BA9" i="3"/>
  <c r="Z9" i="3"/>
  <c r="AD9" i="3"/>
  <c r="AH9" i="3"/>
  <c r="AL9" i="3"/>
  <c r="AP9" i="3"/>
  <c r="AT9" i="3"/>
  <c r="AX9" i="3"/>
  <c r="BB9" i="3"/>
  <c r="Q15" i="2" l="1"/>
  <c r="I7" i="2" s="1"/>
  <c r="J12" i="4" s="1"/>
  <c r="U15" i="2"/>
  <c r="N15" i="2" s="1"/>
  <c r="W15" i="2"/>
  <c r="H10" i="2" s="1"/>
  <c r="I15" i="4" s="1"/>
  <c r="T15" i="2"/>
  <c r="I9" i="2" s="1"/>
  <c r="J14" i="4" s="1"/>
  <c r="P15" i="2"/>
  <c r="L14" i="2" s="1"/>
  <c r="I10" i="2"/>
  <c r="J15" i="4" s="1"/>
  <c r="O14" i="2"/>
  <c r="W8" i="3"/>
  <c r="AE10" i="3"/>
  <c r="AH10" i="3"/>
  <c r="V10" i="3"/>
  <c r="Y10" i="3"/>
  <c r="AB10" i="3"/>
  <c r="AF10" i="3"/>
  <c r="AD10" i="3"/>
  <c r="AG10" i="3"/>
  <c r="X10" i="3"/>
  <c r="AC10" i="3"/>
  <c r="Z10" i="3"/>
  <c r="U10" i="3"/>
  <c r="AA10" i="3"/>
  <c r="W10" i="3"/>
  <c r="T10" i="3"/>
  <c r="U8" i="3"/>
  <c r="Y7" i="3"/>
  <c r="AC7" i="3"/>
  <c r="AG7" i="3"/>
  <c r="AK7" i="3"/>
  <c r="AO7" i="3"/>
  <c r="AS7" i="3"/>
  <c r="AW7" i="3"/>
  <c r="BA7" i="3"/>
  <c r="Z7" i="3"/>
  <c r="AD7" i="3"/>
  <c r="AH7" i="3"/>
  <c r="AL7" i="3"/>
  <c r="AP7" i="3"/>
  <c r="AT7" i="3"/>
  <c r="AX7" i="3"/>
  <c r="BB7" i="3"/>
  <c r="AA7" i="3"/>
  <c r="AE7" i="3"/>
  <c r="AI7" i="3"/>
  <c r="AM7" i="3"/>
  <c r="AQ7" i="3"/>
  <c r="AU7" i="3"/>
  <c r="AY7" i="3"/>
  <c r="AB7" i="3"/>
  <c r="AF7" i="3"/>
  <c r="AJ7" i="3"/>
  <c r="AN7" i="3"/>
  <c r="AR7" i="3"/>
  <c r="AV7" i="3"/>
  <c r="AZ7" i="3"/>
  <c r="U7" i="3"/>
  <c r="V7" i="3"/>
  <c r="Q7" i="3"/>
  <c r="W7" i="3"/>
  <c r="X7" i="3"/>
  <c r="X8" i="3"/>
  <c r="T8" i="3"/>
  <c r="AR8" i="3"/>
  <c r="AC8" i="3"/>
  <c r="AG8" i="3"/>
  <c r="AK8" i="3"/>
  <c r="AO8" i="3"/>
  <c r="AS8" i="3"/>
  <c r="AW8" i="3"/>
  <c r="BA8" i="3"/>
  <c r="Y8" i="3"/>
  <c r="Z8" i="3"/>
  <c r="AD8" i="3"/>
  <c r="AH8" i="3"/>
  <c r="AL8" i="3"/>
  <c r="AT8" i="3"/>
  <c r="AX8" i="3"/>
  <c r="AP8" i="3"/>
  <c r="AA8" i="3"/>
  <c r="AE8" i="3"/>
  <c r="AI8" i="3"/>
  <c r="AM8" i="3"/>
  <c r="AQ8" i="3"/>
  <c r="AU8" i="3"/>
  <c r="AY8" i="3"/>
  <c r="AB8" i="3"/>
  <c r="AF8" i="3"/>
  <c r="AJ8" i="3"/>
  <c r="AN8" i="3"/>
  <c r="AV8" i="3"/>
  <c r="AZ8" i="3"/>
  <c r="BB8" i="3"/>
  <c r="W9" i="3"/>
  <c r="V9" i="3"/>
  <c r="T9" i="3"/>
  <c r="X9" i="3"/>
  <c r="U9" i="3"/>
  <c r="L15" i="2" l="1"/>
  <c r="O15" i="2"/>
  <c r="H9" i="2"/>
  <c r="L9" i="3" s="1"/>
  <c r="J9" i="3"/>
  <c r="J9" i="2"/>
  <c r="K14" i="4" s="1"/>
  <c r="N14" i="2"/>
  <c r="H7" i="2"/>
  <c r="K9" i="3"/>
  <c r="G10" i="3"/>
  <c r="S10" i="3"/>
  <c r="R10" i="3"/>
  <c r="Q10" i="3"/>
  <c r="E10" i="3"/>
  <c r="J10" i="2"/>
  <c r="K15" i="4" s="1"/>
  <c r="L10" i="3"/>
  <c r="K10" i="2"/>
  <c r="L15" i="4" s="1"/>
  <c r="J10" i="3"/>
  <c r="O10" i="3"/>
  <c r="P10" i="3"/>
  <c r="M10" i="3"/>
  <c r="F10" i="3"/>
  <c r="I10" i="3"/>
  <c r="H10" i="3"/>
  <c r="K10" i="3"/>
  <c r="N10" i="3"/>
  <c r="T7" i="3"/>
  <c r="S7" i="3"/>
  <c r="R7" i="3"/>
  <c r="G11" i="1"/>
  <c r="H9" i="3" l="1"/>
  <c r="N9" i="3"/>
  <c r="I9" i="3"/>
  <c r="G9" i="3"/>
  <c r="O9" i="3"/>
  <c r="Q9" i="3"/>
  <c r="E9" i="3"/>
  <c r="F9" i="3"/>
  <c r="I12" i="4"/>
  <c r="K7" i="2"/>
  <c r="I14" i="4"/>
  <c r="R9" i="3"/>
  <c r="M9" i="3"/>
  <c r="K9" i="2"/>
  <c r="L14" i="4" s="1"/>
  <c r="S9" i="3"/>
  <c r="P9" i="3"/>
  <c r="W46" i="1"/>
  <c r="W45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11" i="1" l="1"/>
  <c r="R11" i="1"/>
  <c r="I11" i="1" l="1"/>
  <c r="J11" i="1"/>
  <c r="K11" i="1"/>
  <c r="L11" i="1"/>
  <c r="M11" i="1"/>
  <c r="N11" i="1"/>
  <c r="O11" i="1"/>
  <c r="P11" i="1"/>
  <c r="S11" i="1" l="1"/>
  <c r="T58" i="1" l="1"/>
  <c r="G62" i="2" s="1"/>
  <c r="T57" i="1"/>
  <c r="G61" i="2" s="1"/>
  <c r="T46" i="1"/>
  <c r="G50" i="2" s="1"/>
  <c r="T45" i="1"/>
  <c r="G49" i="2" s="1"/>
  <c r="T47" i="1"/>
  <c r="G51" i="2" s="1"/>
  <c r="T49" i="1"/>
  <c r="G53" i="2" s="1"/>
  <c r="T48" i="1"/>
  <c r="G52" i="2" s="1"/>
  <c r="T50" i="1"/>
  <c r="G54" i="2" s="1"/>
  <c r="T51" i="1"/>
  <c r="G55" i="2" s="1"/>
  <c r="T52" i="1"/>
  <c r="G56" i="2" s="1"/>
  <c r="T53" i="1"/>
  <c r="G57" i="2" s="1"/>
  <c r="T54" i="1"/>
  <c r="G58" i="2" s="1"/>
  <c r="T55" i="1"/>
  <c r="G59" i="2" s="1"/>
  <c r="T56" i="1"/>
  <c r="G60" i="2" s="1"/>
  <c r="T59" i="1"/>
  <c r="G63" i="2" s="1"/>
  <c r="T60" i="1"/>
  <c r="G64" i="2" s="1"/>
  <c r="T61" i="1"/>
  <c r="G65" i="2" s="1"/>
  <c r="T62" i="1"/>
  <c r="G66" i="2" s="1"/>
  <c r="T63" i="1"/>
  <c r="G67" i="2" s="1"/>
  <c r="T64" i="1"/>
  <c r="G68" i="2" s="1"/>
  <c r="T65" i="1"/>
  <c r="G69" i="2" s="1"/>
  <c r="T66" i="1"/>
  <c r="G70" i="2" s="1"/>
  <c r="T67" i="1"/>
  <c r="G71" i="2" s="1"/>
  <c r="T68" i="1"/>
  <c r="G72" i="2" s="1"/>
  <c r="T69" i="1"/>
  <c r="G73" i="2" s="1"/>
  <c r="T70" i="1"/>
  <c r="G74" i="2" s="1"/>
  <c r="T71" i="1"/>
  <c r="G75" i="2" s="1"/>
  <c r="G14" i="2" l="1"/>
  <c r="R65" i="2"/>
  <c r="R15" i="2" s="1"/>
  <c r="T11" i="1"/>
  <c r="U45" i="1"/>
  <c r="H49" i="2" s="1"/>
  <c r="K49" i="2" s="1"/>
  <c r="U46" i="1"/>
  <c r="Q11" i="1"/>
  <c r="Q10" i="1"/>
  <c r="H50" i="2" l="1"/>
  <c r="I49" i="2"/>
  <c r="M14" i="2"/>
  <c r="H8" i="2"/>
  <c r="I8" i="2"/>
  <c r="J13" i="4" s="1"/>
  <c r="V8" i="3"/>
  <c r="F5" i="3"/>
  <c r="E12" i="3" s="1"/>
  <c r="F12" i="3" s="1"/>
  <c r="G12" i="3" s="1"/>
  <c r="H12" i="3" s="1"/>
  <c r="I12" i="3" s="1"/>
  <c r="J12" i="3" s="1"/>
  <c r="K12" i="3" s="1"/>
  <c r="L12" i="3" s="1"/>
  <c r="M12" i="3" s="1"/>
  <c r="N12" i="3" s="1"/>
  <c r="O12" i="3" s="1"/>
  <c r="P12" i="3" s="1"/>
  <c r="Q12" i="3" s="1"/>
  <c r="R12" i="3" s="1"/>
  <c r="V45" i="1"/>
  <c r="V46" i="1"/>
  <c r="U49" i="1"/>
  <c r="U50" i="1"/>
  <c r="U53" i="1"/>
  <c r="H57" i="2" s="1"/>
  <c r="K57" i="2" s="1"/>
  <c r="U52" i="1"/>
  <c r="U51" i="1"/>
  <c r="U57" i="1"/>
  <c r="U47" i="1"/>
  <c r="U54" i="1"/>
  <c r="U55" i="1"/>
  <c r="U56" i="1"/>
  <c r="U66" i="1"/>
  <c r="U48" i="1"/>
  <c r="U64" i="1"/>
  <c r="U60" i="1"/>
  <c r="U63" i="1"/>
  <c r="U68" i="1"/>
  <c r="U70" i="1"/>
  <c r="U58" i="1"/>
  <c r="U59" i="1"/>
  <c r="U65" i="1"/>
  <c r="U67" i="1"/>
  <c r="H11" i="1"/>
  <c r="U69" i="1"/>
  <c r="U71" i="1"/>
  <c r="U62" i="1"/>
  <c r="U61" i="1"/>
  <c r="I50" i="2" l="1"/>
  <c r="K50" i="2"/>
  <c r="H62" i="2"/>
  <c r="H61" i="2"/>
  <c r="H66" i="2"/>
  <c r="H71" i="2"/>
  <c r="H74" i="2"/>
  <c r="H68" i="2"/>
  <c r="H59" i="2"/>
  <c r="H55" i="2"/>
  <c r="H53" i="2"/>
  <c r="H60" i="2"/>
  <c r="H69" i="2"/>
  <c r="H52" i="2"/>
  <c r="H58" i="2"/>
  <c r="H56" i="2"/>
  <c r="H65" i="2"/>
  <c r="H64" i="2"/>
  <c r="H54" i="2"/>
  <c r="H75" i="2"/>
  <c r="H72" i="2"/>
  <c r="H73" i="2"/>
  <c r="H63" i="2"/>
  <c r="H67" i="2"/>
  <c r="H70" i="2"/>
  <c r="H51" i="2"/>
  <c r="K51" i="2" s="1"/>
  <c r="K8" i="2"/>
  <c r="L8" i="3"/>
  <c r="Q8" i="3"/>
  <c r="E8" i="3"/>
  <c r="O8" i="3"/>
  <c r="J8" i="3"/>
  <c r="G8" i="3"/>
  <c r="F8" i="3"/>
  <c r="R8" i="3"/>
  <c r="N8" i="3"/>
  <c r="K8" i="3"/>
  <c r="I13" i="4"/>
  <c r="J8" i="2"/>
  <c r="K13" i="4" s="1"/>
  <c r="M8" i="3"/>
  <c r="P8" i="3"/>
  <c r="S8" i="3"/>
  <c r="I8" i="3"/>
  <c r="H8" i="3"/>
  <c r="L13" i="4"/>
  <c r="L7" i="3"/>
  <c r="I57" i="2"/>
  <c r="M7" i="3"/>
  <c r="P7" i="3"/>
  <c r="O7" i="3"/>
  <c r="I7" i="3"/>
  <c r="E7" i="3"/>
  <c r="F4" i="3"/>
  <c r="J7" i="2"/>
  <c r="K12" i="4" s="1"/>
  <c r="G7" i="3"/>
  <c r="H7" i="3"/>
  <c r="K7" i="3"/>
  <c r="L12" i="4"/>
  <c r="J7" i="3"/>
  <c r="N7" i="3"/>
  <c r="F7" i="3"/>
  <c r="V61" i="1"/>
  <c r="V58" i="1"/>
  <c r="V60" i="1"/>
  <c r="V56" i="1"/>
  <c r="V57" i="1"/>
  <c r="V50" i="1"/>
  <c r="V62" i="1"/>
  <c r="V67" i="1"/>
  <c r="V70" i="1"/>
  <c r="V64" i="1"/>
  <c r="V55" i="1"/>
  <c r="V51" i="1"/>
  <c r="V49" i="1"/>
  <c r="V71" i="1"/>
  <c r="V65" i="1"/>
  <c r="V68" i="1"/>
  <c r="V48" i="1"/>
  <c r="V54" i="1"/>
  <c r="V52" i="1"/>
  <c r="V69" i="1"/>
  <c r="V59" i="1"/>
  <c r="V63" i="1"/>
  <c r="V66" i="1"/>
  <c r="V47" i="1"/>
  <c r="V53" i="1"/>
  <c r="S12" i="3"/>
  <c r="U11" i="1"/>
  <c r="I56" i="2" l="1"/>
  <c r="K56" i="2"/>
  <c r="I67" i="2"/>
  <c r="K67" i="2"/>
  <c r="I75" i="2"/>
  <c r="K75" i="2"/>
  <c r="I60" i="2"/>
  <c r="K60" i="2"/>
  <c r="I68" i="2"/>
  <c r="K68" i="2"/>
  <c r="I61" i="2"/>
  <c r="K61" i="2"/>
  <c r="I63" i="2"/>
  <c r="K63" i="2"/>
  <c r="I54" i="2"/>
  <c r="K54" i="2"/>
  <c r="I58" i="2"/>
  <c r="K58" i="2"/>
  <c r="I53" i="2"/>
  <c r="K53" i="2"/>
  <c r="I74" i="2"/>
  <c r="K74" i="2"/>
  <c r="I62" i="2"/>
  <c r="K62" i="2"/>
  <c r="I55" i="2"/>
  <c r="K55" i="2"/>
  <c r="I73" i="2"/>
  <c r="K73" i="2"/>
  <c r="I64" i="2"/>
  <c r="K64" i="2"/>
  <c r="I52" i="2"/>
  <c r="K52" i="2"/>
  <c r="I71" i="2"/>
  <c r="K71" i="2"/>
  <c r="I70" i="2"/>
  <c r="K70" i="2"/>
  <c r="I72" i="2"/>
  <c r="K72" i="2"/>
  <c r="I65" i="2"/>
  <c r="K65" i="2"/>
  <c r="I69" i="2"/>
  <c r="K69" i="2"/>
  <c r="I59" i="2"/>
  <c r="K59" i="2"/>
  <c r="I66" i="2"/>
  <c r="K66" i="2"/>
  <c r="H14" i="2"/>
  <c r="I14" i="2" s="1"/>
  <c r="I51" i="2"/>
  <c r="H4" i="3"/>
  <c r="E11" i="3"/>
  <c r="E14" i="3" s="1"/>
  <c r="T12" i="3"/>
  <c r="V11" i="1"/>
  <c r="AG13" i="3" l="1"/>
  <c r="AW13" i="3"/>
  <c r="AJ13" i="3"/>
  <c r="AZ13" i="3"/>
  <c r="AL13" i="3"/>
  <c r="BB13" i="3"/>
  <c r="AM13" i="3"/>
  <c r="AK13" i="3"/>
  <c r="BA13" i="3"/>
  <c r="AN13" i="3"/>
  <c r="Z13" i="3"/>
  <c r="AP13" i="3"/>
  <c r="AA13" i="3"/>
  <c r="AQ13" i="3"/>
  <c r="Y13" i="3"/>
  <c r="AO13" i="3"/>
  <c r="AB13" i="3"/>
  <c r="AR13" i="3"/>
  <c r="AD13" i="3"/>
  <c r="AT13" i="3"/>
  <c r="AE13" i="3"/>
  <c r="AU13" i="3"/>
  <c r="AC13" i="3"/>
  <c r="AS13" i="3"/>
  <c r="AF13" i="3"/>
  <c r="AV13" i="3"/>
  <c r="AH13" i="3"/>
  <c r="AX13" i="3"/>
  <c r="AI13" i="3"/>
  <c r="AY13" i="3"/>
  <c r="Q13" i="3"/>
  <c r="X13" i="3"/>
  <c r="U13" i="3"/>
  <c r="W13" i="3"/>
  <c r="R13" i="3"/>
  <c r="S13" i="3"/>
  <c r="T13" i="3"/>
  <c r="V13" i="3"/>
  <c r="E13" i="3"/>
  <c r="E15" i="3" s="1"/>
  <c r="M13" i="3"/>
  <c r="K13" i="3"/>
  <c r="G13" i="3"/>
  <c r="H13" i="3"/>
  <c r="P13" i="3"/>
  <c r="L13" i="3"/>
  <c r="I13" i="3"/>
  <c r="F13" i="3"/>
  <c r="O13" i="3"/>
  <c r="N13" i="3"/>
  <c r="J13" i="3"/>
  <c r="U12" i="3"/>
  <c r="K10" i="1"/>
  <c r="H10" i="1"/>
  <c r="M10" i="1"/>
  <c r="O10" i="1"/>
  <c r="G10" i="1"/>
  <c r="J10" i="1"/>
  <c r="L10" i="1"/>
  <c r="P10" i="1"/>
  <c r="N10" i="1"/>
  <c r="F17" i="3" l="1"/>
  <c r="G17" i="3" s="1"/>
  <c r="H17" i="3" s="1"/>
  <c r="I17" i="3" s="1"/>
  <c r="J17" i="3" s="1"/>
  <c r="K17" i="3" s="1"/>
  <c r="L17" i="3" s="1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Z17" i="3" s="1"/>
  <c r="AA17" i="3" s="1"/>
  <c r="AB17" i="3" s="1"/>
  <c r="AC17" i="3" s="1"/>
  <c r="AD17" i="3" s="1"/>
  <c r="AE17" i="3" s="1"/>
  <c r="AF17" i="3" s="1"/>
  <c r="AG17" i="3" s="1"/>
  <c r="AH17" i="3" s="1"/>
  <c r="AI17" i="3" s="1"/>
  <c r="AJ17" i="3" s="1"/>
  <c r="AK17" i="3" s="1"/>
  <c r="AL17" i="3" s="1"/>
  <c r="AM17" i="3" s="1"/>
  <c r="AN17" i="3" s="1"/>
  <c r="AO17" i="3" s="1"/>
  <c r="AP17" i="3" s="1"/>
  <c r="AQ17" i="3" s="1"/>
  <c r="AR17" i="3" s="1"/>
  <c r="AS17" i="3" s="1"/>
  <c r="AT17" i="3" s="1"/>
  <c r="AU17" i="3" s="1"/>
  <c r="AV17" i="3" s="1"/>
  <c r="AW17" i="3" s="1"/>
  <c r="AX17" i="3" s="1"/>
  <c r="AY17" i="3" s="1"/>
  <c r="AZ17" i="3" s="1"/>
  <c r="BA17" i="3" s="1"/>
  <c r="BB17" i="3" s="1"/>
  <c r="F11" i="3"/>
  <c r="V12" i="3"/>
  <c r="I10" i="1"/>
  <c r="G11" i="3" l="1"/>
  <c r="F14" i="3"/>
  <c r="F15" i="3" s="1"/>
  <c r="W12" i="3"/>
  <c r="H11" i="3" l="1"/>
  <c r="G14" i="3"/>
  <c r="G15" i="3" s="1"/>
  <c r="X12" i="3"/>
  <c r="H14" i="3" l="1"/>
  <c r="H15" i="3" s="1"/>
  <c r="I11" i="3"/>
  <c r="Y12" i="3"/>
  <c r="I14" i="3" l="1"/>
  <c r="I15" i="3" s="1"/>
  <c r="J11" i="3"/>
  <c r="Z12" i="3"/>
  <c r="J14" i="3" l="1"/>
  <c r="J15" i="3" s="1"/>
  <c r="K11" i="3"/>
  <c r="AA12" i="3"/>
  <c r="K14" i="3" l="1"/>
  <c r="K15" i="3" s="1"/>
  <c r="L11" i="3"/>
  <c r="AB12" i="3"/>
  <c r="L14" i="3" l="1"/>
  <c r="L15" i="3" s="1"/>
  <c r="M11" i="3"/>
  <c r="AC12" i="3"/>
  <c r="M14" i="3" l="1"/>
  <c r="M15" i="3" s="1"/>
  <c r="N11" i="3"/>
  <c r="AD12" i="3"/>
  <c r="N14" i="3" l="1"/>
  <c r="N15" i="3" s="1"/>
  <c r="O11" i="3"/>
  <c r="AE12" i="3"/>
  <c r="O14" i="3" l="1"/>
  <c r="O15" i="3" s="1"/>
  <c r="P11" i="3"/>
  <c r="AF12" i="3"/>
  <c r="Q11" i="3" l="1"/>
  <c r="P14" i="3"/>
  <c r="P15" i="3" s="1"/>
  <c r="AG12" i="3"/>
  <c r="Q14" i="3" l="1"/>
  <c r="Q15" i="3" s="1"/>
  <c r="R11" i="3"/>
  <c r="AH12" i="3"/>
  <c r="R14" i="3" l="1"/>
  <c r="R15" i="3" s="1"/>
  <c r="S11" i="3"/>
  <c r="AI12" i="3"/>
  <c r="S14" i="3" l="1"/>
  <c r="S15" i="3" s="1"/>
  <c r="T11" i="3"/>
  <c r="AJ12" i="3"/>
  <c r="T14" i="3" l="1"/>
  <c r="T15" i="3" s="1"/>
  <c r="U11" i="3"/>
  <c r="AK12" i="3"/>
  <c r="U14" i="3" l="1"/>
  <c r="U15" i="3" s="1"/>
  <c r="V11" i="3"/>
  <c r="AL12" i="3"/>
  <c r="W11" i="3" l="1"/>
  <c r="V14" i="3"/>
  <c r="V15" i="3" s="1"/>
  <c r="AM12" i="3"/>
  <c r="W14" i="3" l="1"/>
  <c r="W15" i="3" s="1"/>
  <c r="X11" i="3"/>
  <c r="AN12" i="3"/>
  <c r="Y11" i="3" l="1"/>
  <c r="X14" i="3"/>
  <c r="X15" i="3" s="1"/>
  <c r="AO12" i="3"/>
  <c r="Z11" i="3" l="1"/>
  <c r="Y14" i="3"/>
  <c r="Y15" i="3" s="1"/>
  <c r="AP12" i="3"/>
  <c r="Z14" i="3" l="1"/>
  <c r="Z15" i="3" s="1"/>
  <c r="AA11" i="3"/>
  <c r="AQ12" i="3"/>
  <c r="AB11" i="3" l="1"/>
  <c r="AA14" i="3"/>
  <c r="AA15" i="3" s="1"/>
  <c r="AR12" i="3"/>
  <c r="AC11" i="3" l="1"/>
  <c r="AB14" i="3"/>
  <c r="AB15" i="3" s="1"/>
  <c r="AS12" i="3"/>
  <c r="AC14" i="3" l="1"/>
  <c r="AC15" i="3" s="1"/>
  <c r="AD11" i="3"/>
  <c r="AT12" i="3"/>
  <c r="AE11" i="3" l="1"/>
  <c r="AD14" i="3"/>
  <c r="AD15" i="3" s="1"/>
  <c r="AU12" i="3"/>
  <c r="AF11" i="3" l="1"/>
  <c r="AE14" i="3"/>
  <c r="AE15" i="3" s="1"/>
  <c r="AV12" i="3"/>
  <c r="AF14" i="3" l="1"/>
  <c r="AF15" i="3" s="1"/>
  <c r="AG11" i="3"/>
  <c r="AH11" i="3" s="1"/>
  <c r="AW12" i="3"/>
  <c r="AG14" i="3" l="1"/>
  <c r="AG15" i="3" s="1"/>
  <c r="AX12" i="3"/>
  <c r="AI11" i="3" l="1"/>
  <c r="AH14" i="3"/>
  <c r="AH15" i="3" s="1"/>
  <c r="AY12" i="3"/>
  <c r="AI14" i="3" l="1"/>
  <c r="AI15" i="3" s="1"/>
  <c r="AJ11" i="3"/>
  <c r="AZ12" i="3"/>
  <c r="AJ14" i="3" l="1"/>
  <c r="AJ15" i="3" s="1"/>
  <c r="AK11" i="3"/>
  <c r="BA12" i="3"/>
  <c r="AL11" i="3" l="1"/>
  <c r="AK14" i="3"/>
  <c r="AK15" i="3" s="1"/>
  <c r="BB12" i="3"/>
  <c r="AM11" i="3" l="1"/>
  <c r="AL14" i="3"/>
  <c r="AL15" i="3" s="1"/>
  <c r="AN11" i="3" l="1"/>
  <c r="AM14" i="3"/>
  <c r="AM15" i="3" s="1"/>
  <c r="AO11" i="3" l="1"/>
  <c r="AN14" i="3"/>
  <c r="AN15" i="3" s="1"/>
  <c r="AP11" i="3" l="1"/>
  <c r="AO14" i="3"/>
  <c r="AO15" i="3" s="1"/>
  <c r="AQ11" i="3" l="1"/>
  <c r="AP14" i="3"/>
  <c r="AP15" i="3" s="1"/>
  <c r="AR11" i="3" l="1"/>
  <c r="AQ14" i="3"/>
  <c r="AQ15" i="3" s="1"/>
  <c r="AS11" i="3" l="1"/>
  <c r="AR14" i="3"/>
  <c r="AR15" i="3" s="1"/>
  <c r="AS14" i="3" l="1"/>
  <c r="AS15" i="3" s="1"/>
  <c r="AT11" i="3"/>
  <c r="AT14" i="3" l="1"/>
  <c r="AT15" i="3" s="1"/>
  <c r="AU11" i="3"/>
  <c r="AU14" i="3" l="1"/>
  <c r="AU15" i="3" s="1"/>
  <c r="AV11" i="3"/>
  <c r="AV14" i="3" l="1"/>
  <c r="AV15" i="3" s="1"/>
  <c r="AW11" i="3"/>
  <c r="AW14" i="3" l="1"/>
  <c r="AW15" i="3" s="1"/>
  <c r="AX11" i="3"/>
  <c r="AX14" i="3" l="1"/>
  <c r="AX15" i="3" s="1"/>
  <c r="AY11" i="3"/>
  <c r="AY14" i="3" l="1"/>
  <c r="AY15" i="3" s="1"/>
  <c r="AZ11" i="3"/>
  <c r="BA11" i="3" l="1"/>
  <c r="AZ14" i="3"/>
  <c r="AZ15" i="3" s="1"/>
  <c r="BB11" i="3" l="1"/>
  <c r="BB14" i="3" s="1"/>
  <c r="BB15" i="3" s="1"/>
  <c r="BA14" i="3"/>
  <c r="BA1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Lindgren Olle</author>
  </authors>
  <commentList>
    <comment ref="F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Lindgren Olle:</t>
        </r>
        <r>
          <rPr>
            <sz val="9"/>
            <color indexed="81"/>
            <rFont val="Tahoma"/>
            <family val="2"/>
          </rPr>
          <t xml:space="preserve">
Priser ex. moms</t>
        </r>
      </text>
    </comment>
    <comment ref="F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Lindgren Olle:</t>
        </r>
        <r>
          <rPr>
            <sz val="9"/>
            <color indexed="81"/>
            <rFont val="Tahoma"/>
            <family val="2"/>
          </rPr>
          <t xml:space="preserve">
Emissoner (värden kommer från naturvårdsverkets riktlinjer för "klimatklivet"</t>
        </r>
      </text>
    </comment>
    <comment ref="R10" authorId="0" shapeId="0" xr:uid="{1A719FF9-6261-402D-9F75-DAB1B1A28688}">
      <text>
        <r>
          <rPr>
            <b/>
            <sz val="9"/>
            <color indexed="81"/>
            <rFont val="Tahoma"/>
            <family val="2"/>
          </rPr>
          <t>Lindgren Olle:</t>
        </r>
        <r>
          <rPr>
            <sz val="9"/>
            <color indexed="81"/>
            <rFont val="Tahoma"/>
            <family val="2"/>
          </rPr>
          <t xml:space="preserve">
Möjlighet att lägga in underhållsbespring per år. Minskade driftkotnader sätt som en besparing vilket är ett positivt tal. Ev höjnngar sätt som minus. </t>
        </r>
      </text>
    </comment>
    <comment ref="S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Lindgren Olle:</t>
        </r>
        <r>
          <rPr>
            <sz val="9"/>
            <color indexed="81"/>
            <rFont val="Tahoma"/>
            <family val="2"/>
          </rPr>
          <t xml:space="preserve">
Totalkostnad
Priser "ex. moms"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Lindgren Olle</author>
  </authors>
  <commentList>
    <comment ref="F5" authorId="0" shapeId="0" xr:uid="{7A5FAB45-051C-4984-A77A-FAD13583CCB9}">
      <text>
        <r>
          <rPr>
            <b/>
            <sz val="9"/>
            <color indexed="81"/>
            <rFont val="Tahoma"/>
            <family val="2"/>
          </rPr>
          <t>Lindgren Olle:</t>
        </r>
        <r>
          <rPr>
            <sz val="9"/>
            <color indexed="81"/>
            <rFont val="Tahoma"/>
            <family val="2"/>
          </rPr>
          <t xml:space="preserve">
Namnge paket här</t>
        </r>
      </text>
    </comment>
    <comment ref="G5" authorId="0" shapeId="0" xr:uid="{4DCC99D0-99D4-4EA5-9B2F-1DA8E3E672EB}">
      <text>
        <r>
          <rPr>
            <b/>
            <sz val="9"/>
            <color indexed="81"/>
            <rFont val="Tahoma"/>
            <family val="2"/>
          </rPr>
          <t>Lindgren Olle:</t>
        </r>
        <r>
          <rPr>
            <sz val="9"/>
            <color indexed="81"/>
            <rFont val="Tahoma"/>
            <family val="2"/>
          </rPr>
          <t xml:space="preserve">
Välj hur många årt du vill göra en Nuvärdeskalkyll på för varje paket.</t>
        </r>
      </text>
    </comment>
    <comment ref="J13" authorId="0" shapeId="0" xr:uid="{4B32A6A9-8E87-4504-A090-FC4E48B0A054}">
      <text>
        <r>
          <rPr>
            <b/>
            <sz val="9"/>
            <color indexed="81"/>
            <rFont val="Tahoma"/>
            <family val="2"/>
          </rPr>
          <t>Lindgren Olle: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Teknkniks livslängd hämtas från  "nuvärdesberäknkng år. Tabellen på den flikene kan fyllas på. Du kan även skriva in eget år direkt i kolumn "J".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Lindgren Olle</author>
  </authors>
  <commentList>
    <comment ref="H10" authorId="0" shapeId="0" xr:uid="{7862F975-91AC-493E-878D-9CC76E934D8E}">
      <text>
        <r>
          <rPr>
            <b/>
            <sz val="9"/>
            <color indexed="81"/>
            <rFont val="Tahoma"/>
            <family val="2"/>
          </rPr>
          <t>Lindgren Olle:</t>
        </r>
        <r>
          <rPr>
            <sz val="9"/>
            <color indexed="81"/>
            <rFont val="Tahoma"/>
            <family val="2"/>
          </rPr>
          <t xml:space="preserve">
Välj hur många årt du vill göra en LCC-aklakyl på för varje paket.</t>
        </r>
      </text>
    </comment>
  </commentList>
</comments>
</file>

<file path=xl/sharedStrings.xml><?xml version="1.0" encoding="utf-8"?>
<sst xmlns="http://schemas.openxmlformats.org/spreadsheetml/2006/main" count="454" uniqueCount="146">
  <si>
    <t>tkr/MWh</t>
  </si>
  <si>
    <t>tkr/m3</t>
  </si>
  <si>
    <t>Åtgärd
[nr]</t>
  </si>
  <si>
    <t>Beskrivning</t>
  </si>
  <si>
    <t>Ingår
[Ja/Nej]</t>
  </si>
  <si>
    <t>Total Besparing 
[tkr/år]</t>
  </si>
  <si>
    <t>Payoff
[år]</t>
  </si>
  <si>
    <t>Kolumn3</t>
  </si>
  <si>
    <t>Kolumn32</t>
  </si>
  <si>
    <t>Kolumn42</t>
  </si>
  <si>
    <t>Kolumn6</t>
  </si>
  <si>
    <t>Kolumn8</t>
  </si>
  <si>
    <t>Kolumn85</t>
  </si>
  <si>
    <t>Kolumn852</t>
  </si>
  <si>
    <t>Kolumn86</t>
  </si>
  <si>
    <t>Kolumn87</t>
  </si>
  <si>
    <t>Kolumn84</t>
  </si>
  <si>
    <t>Kolumn83</t>
  </si>
  <si>
    <t>Kolumn82</t>
  </si>
  <si>
    <t>Kolumn122</t>
  </si>
  <si>
    <t>Kolumn9</t>
  </si>
  <si>
    <t>Kolumn10</t>
  </si>
  <si>
    <t>Kolumn102</t>
  </si>
  <si>
    <t>Kolumn11</t>
  </si>
  <si>
    <t>Kolumn5</t>
  </si>
  <si>
    <t>Kolumn13</t>
  </si>
  <si>
    <t>ja</t>
  </si>
  <si>
    <t>nej</t>
  </si>
  <si>
    <t>CO2 kg/MWh</t>
  </si>
  <si>
    <t>Tappvatten</t>
  </si>
  <si>
    <t>Kolumn14</t>
  </si>
  <si>
    <t>Kolumn15</t>
  </si>
  <si>
    <t>Kolumn17</t>
  </si>
  <si>
    <t>Investering
[tkr]</t>
  </si>
  <si>
    <t>Minskning
 CO2
[ton/år]</t>
  </si>
  <si>
    <t>tkr/Mwh</t>
  </si>
  <si>
    <t>Kostnad beräknade åtgärder
[tkr]</t>
  </si>
  <si>
    <t>kostnad Ingående åtgärder
[tkr]</t>
  </si>
  <si>
    <t>Delsumma:</t>
  </si>
  <si>
    <t>Undershåll besparing
[tkr/år]</t>
  </si>
  <si>
    <t>Sammställning per år/Prioretet vald i åtgärdslistan</t>
  </si>
  <si>
    <t>Sammanställing av ingåede åtgärder (markerde med ingår "ja")</t>
  </si>
  <si>
    <t>Energi &amp; Underhållsbespringar</t>
  </si>
  <si>
    <t>El</t>
  </si>
  <si>
    <t>tkr</t>
  </si>
  <si>
    <t>MWh</t>
  </si>
  <si>
    <t>Kategori</t>
  </si>
  <si>
    <t>Kolumn1</t>
  </si>
  <si>
    <t>Sammanställing av ingåede åtgärder
 (markerde med ingår "ja")</t>
  </si>
  <si>
    <t>Kalkylränta</t>
  </si>
  <si>
    <t>Energiprisökning</t>
  </si>
  <si>
    <t>Nuvärde</t>
  </si>
  <si>
    <t>Ja</t>
  </si>
  <si>
    <t>Kolumn144</t>
  </si>
  <si>
    <t>Kolumn4</t>
  </si>
  <si>
    <t>Kolumn7</t>
  </si>
  <si>
    <t>Paket</t>
  </si>
  <si>
    <t>Besparing
[tkr]</t>
  </si>
  <si>
    <t>Invest.
[tkr]</t>
  </si>
  <si>
    <t>Paket
Namn</t>
  </si>
  <si>
    <t>Period
[år]</t>
  </si>
  <si>
    <t>Invest</t>
  </si>
  <si>
    <t>Eenrgikost</t>
  </si>
  <si>
    <t>Energi</t>
  </si>
  <si>
    <t>besp</t>
  </si>
  <si>
    <t>Kost utan åtg</t>
  </si>
  <si>
    <t>Amotering</t>
  </si>
  <si>
    <t>Ränta</t>
  </si>
  <si>
    <t>Investering</t>
  </si>
  <si>
    <t>Kost m investering</t>
  </si>
  <si>
    <t>Vattenspar</t>
  </si>
  <si>
    <t>Kolumn33</t>
  </si>
  <si>
    <t>Kolumn34</t>
  </si>
  <si>
    <t>Björken 10</t>
  </si>
  <si>
    <t>Linden 16</t>
  </si>
  <si>
    <t>Göken 21</t>
  </si>
  <si>
    <t xml:space="preserve">Linden 13 </t>
  </si>
  <si>
    <t>Övergripande</t>
  </si>
  <si>
    <t>Linden 8</t>
  </si>
  <si>
    <t>Orren 6,7,8</t>
  </si>
  <si>
    <t>Skäppan 1</t>
  </si>
  <si>
    <t>Terassen 17</t>
  </si>
  <si>
    <t>Trädgården 4</t>
  </si>
  <si>
    <t>Älgen 9</t>
  </si>
  <si>
    <t>Terassen 1</t>
  </si>
  <si>
    <t>Linden 9</t>
  </si>
  <si>
    <t>Styr &amp; övervakning</t>
  </si>
  <si>
    <t>Värme</t>
  </si>
  <si>
    <t>Ventilation</t>
  </si>
  <si>
    <t>Styr och regler</t>
  </si>
  <si>
    <t>Frånluftsvärmepump</t>
  </si>
  <si>
    <t>Solceller</t>
  </si>
  <si>
    <t>Nytt FTX-aggreagt</t>
  </si>
  <si>
    <t>Ny fjv-central</t>
  </si>
  <si>
    <t>Styrning av elradiatorer</t>
  </si>
  <si>
    <t>Frånluftsvärmepump &amp; elradiatorer</t>
  </si>
  <si>
    <t>Tilläggsisolering vind</t>
  </si>
  <si>
    <t>Ny Markvärmepump</t>
  </si>
  <si>
    <t>Injustering av bef. Värmesystem</t>
  </si>
  <si>
    <t>Solvärme</t>
  </si>
  <si>
    <t>Styr &amp; regler</t>
  </si>
  <si>
    <t>Mätvärdesinsamling</t>
  </si>
  <si>
    <t>Ny värme "butiksdel"</t>
  </si>
  <si>
    <t>Ny FTX "Butiksdel"</t>
  </si>
  <si>
    <t>Byt kulvert</t>
  </si>
  <si>
    <t>Nya shuntar</t>
  </si>
  <si>
    <t>Nya termostater</t>
  </si>
  <si>
    <t>Fjärvärme</t>
  </si>
  <si>
    <t>Kolumn2</t>
  </si>
  <si>
    <t>Kolumn12</t>
  </si>
  <si>
    <t>[tkr]</t>
  </si>
  <si>
    <t>Kolumn22</t>
  </si>
  <si>
    <t>Kolumn23</t>
  </si>
  <si>
    <t>Kolumn43</t>
  </si>
  <si>
    <t>x</t>
  </si>
  <si>
    <t>Investering Åtg.
[tkr]</t>
  </si>
  <si>
    <t>Antal kalkylår
[år]</t>
  </si>
  <si>
    <t>Markera de åtgärder som ska ingå i respetive paket.</t>
  </si>
  <si>
    <r>
      <t xml:space="preserve">I kolumn </t>
    </r>
    <r>
      <rPr>
        <b/>
        <sz val="11"/>
        <color theme="1"/>
        <rFont val="Calibri"/>
        <family val="2"/>
        <scheme val="minor"/>
      </rPr>
      <t>"Ingår [Ja/Nej]"</t>
    </r>
    <r>
      <rPr>
        <sz val="10"/>
        <rFont val="Arial"/>
        <family val="2"/>
      </rPr>
      <t xml:space="preserve"> väljes om man önskar att åtgärden skall ingå i totala sammanställningen. Väljs "ja" räknas besparingar och investering in i totala kostnaden. Väljs "nej" så räknas det inte in i totala kostnaden.  Åtgärder som ej räknas in i totalen blir rödmarkerade</t>
    </r>
  </si>
  <si>
    <t>Enkla åtgärder</t>
  </si>
  <si>
    <t>Klimatskal</t>
  </si>
  <si>
    <t>Belysning</t>
  </si>
  <si>
    <t>Övriga åtgärder</t>
  </si>
  <si>
    <t>År Nuvärde</t>
  </si>
  <si>
    <t>Kolumn145</t>
  </si>
  <si>
    <t>Kolumn1442</t>
  </si>
  <si>
    <t>Tekniks Livslängd
[år]</t>
  </si>
  <si>
    <t>Nuvärde [tkr]</t>
  </si>
  <si>
    <t>Fastighet</t>
  </si>
  <si>
    <t>Besparing [tkr]:</t>
  </si>
  <si>
    <t>Investering [tkr]:</t>
  </si>
  <si>
    <t>1.</t>
  </si>
  <si>
    <t>Åtgärdslistan fylls i på fliken "Åtgärdslista" (Grön flik).</t>
  </si>
  <si>
    <t>Fastighet/ byggnad</t>
  </si>
  <si>
    <t>2.</t>
  </si>
  <si>
    <t>Möjlighet finns att lägga in besparingar eller ökade driftkostnader i åtgärdslistan om så önskas.</t>
  </si>
  <si>
    <t>Fyll i byggnad, Kategori, beskrivning, och besparingar samt bedömd investering</t>
  </si>
  <si>
    <t xml:space="preserve">"Åtgärdslista Nuvärde" Fylls i automatiskt. </t>
  </si>
  <si>
    <t>3.</t>
  </si>
  <si>
    <t xml:space="preserve">Möjlighet till att skap olika paket och jämföra finns genom att kryssmarkera "X" i de åtgärder du vill ha i paketet. Uppskattad nuvärdeskalkyl finns för varje åtgärd. </t>
  </si>
  <si>
    <t>Paket 1</t>
  </si>
  <si>
    <t>Paket 2</t>
  </si>
  <si>
    <t>Paket 4</t>
  </si>
  <si>
    <t>Paket
[Namn]</t>
  </si>
  <si>
    <t>Samtliga resutat och inmatningar visas i tkr (tusen kr)</t>
  </si>
  <si>
    <t>På denna sia läggs allt 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</si>
</sst>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k_r_-;\-* #,##0.00\ _k_r_-;_-* &quot;-&quot;??\ _k_r_-;_-@_-"/>
    <numFmt numFmtId="165" formatCode="_-* #,##0.0\ _k_r_-;\-* #,##0.0\ _k_r_-;_-* &quot;-&quot;??\ _k_r_-;_-@_-"/>
    <numFmt numFmtId="166" formatCode="0.0"/>
    <numFmt numFmtId="167" formatCode="#,##0_ ;\-#,##0\ "/>
    <numFmt numFmtId="168" formatCode="#,##0.0_ ;\-#,##0.0\ "/>
    <numFmt numFmtId="169" formatCode="#,##0.0"/>
    <numFmt numFmtId="170" formatCode="#,##0.0_ ;[Red]\-#,##0.0\ "/>
    <numFmt numFmtId="171" formatCode="#,##0_ ;[Red]\-#,##0\ 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i/>
      <sz val="11"/>
      <name val="Calibri"/>
      <family val="2"/>
      <scheme val="minor"/>
    </font>
    <font>
      <sz val="9"/>
      <color theme="9" tint="0.59999389629810485"/>
      <name val="Calibri"/>
      <family val="2"/>
      <scheme val="minor"/>
    </font>
    <font>
      <sz val="12"/>
      <color theme="9" tint="0.5999938962981048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9"/>
      <color theme="7" tint="0.59999389629810485"/>
      <name val="Calibri"/>
      <family val="2"/>
      <scheme val="minor"/>
    </font>
    <font>
      <b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sz val="9"/>
      <color theme="2" tint="-0.499984740745262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10"/>
      <color indexed="81"/>
      <name val="Tahoma"/>
      <family val="2"/>
    </font>
    <font>
      <b/>
      <sz val="12"/>
      <color theme="1" tint="4.9989318521683403E-2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6"/>
      </patternFill>
    </fill>
    <fill>
      <patternFill patternType="solid">
        <fgColor theme="7" tint="0.59999389629810485"/>
        <bgColor theme="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theme="6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2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0" borderId="0" applyNumberForma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16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164" fontId="1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2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2" fontId="19" fillId="0" borderId="14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vertical="center"/>
    </xf>
    <xf numFmtId="49" fontId="16" fillId="0" borderId="0" xfId="0" applyNumberFormat="1" applyFont="1"/>
    <xf numFmtId="0" fontId="0" fillId="0" borderId="0" xfId="0" applyBorder="1" applyAlignment="1">
      <alignment horizontal="center" vertical="center"/>
    </xf>
    <xf numFmtId="166" fontId="16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49" fontId="21" fillId="0" borderId="0" xfId="34" applyNumberFormat="1"/>
    <xf numFmtId="167" fontId="20" fillId="33" borderId="0" xfId="1" applyNumberFormat="1" applyFont="1" applyFill="1" applyBorder="1" applyAlignment="1" applyProtection="1">
      <alignment horizontal="center" vertical="center" wrapText="1"/>
    </xf>
    <xf numFmtId="167" fontId="20" fillId="33" borderId="13" xfId="1" applyNumberFormat="1" applyFont="1" applyFill="1" applyBorder="1" applyAlignment="1" applyProtection="1">
      <alignment horizontal="center" vertical="center" wrapText="1"/>
    </xf>
    <xf numFmtId="167" fontId="20" fillId="33" borderId="14" xfId="1" applyNumberFormat="1" applyFont="1" applyFill="1" applyBorder="1" applyAlignment="1" applyProtection="1">
      <alignment horizontal="center" vertical="center" wrapText="1"/>
    </xf>
    <xf numFmtId="0" fontId="0" fillId="33" borderId="14" xfId="0" applyFont="1" applyFill="1" applyBorder="1" applyAlignment="1">
      <alignment wrapText="1"/>
    </xf>
    <xf numFmtId="165" fontId="20" fillId="33" borderId="19" xfId="1" applyNumberFormat="1" applyFont="1" applyFill="1" applyBorder="1" applyAlignment="1">
      <alignment horizontal="center" vertical="center" wrapText="1"/>
    </xf>
    <xf numFmtId="166" fontId="22" fillId="0" borderId="19" xfId="0" applyNumberFormat="1" applyFont="1" applyFill="1" applyBorder="1" applyAlignment="1">
      <alignment horizontal="center" vertical="center" wrapText="1"/>
    </xf>
    <xf numFmtId="1" fontId="0" fillId="0" borderId="16" xfId="0" applyNumberFormat="1" applyFill="1" applyBorder="1" applyAlignment="1">
      <alignment horizontal="center" vertical="center"/>
    </xf>
    <xf numFmtId="1" fontId="0" fillId="0" borderId="17" xfId="0" applyNumberFormat="1" applyFill="1" applyBorder="1" applyAlignment="1">
      <alignment horizontal="center" vertical="center"/>
    </xf>
    <xf numFmtId="168" fontId="20" fillId="33" borderId="0" xfId="1" applyNumberFormat="1" applyFont="1" applyFill="1" applyBorder="1" applyAlignment="1" applyProtection="1">
      <alignment horizontal="center" vertical="center" wrapText="1"/>
    </xf>
    <xf numFmtId="0" fontId="0" fillId="33" borderId="13" xfId="0" applyFont="1" applyFill="1" applyBorder="1" applyAlignment="1">
      <alignment horizontal="right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166" fontId="22" fillId="0" borderId="0" xfId="0" applyNumberFormat="1" applyFont="1" applyFill="1" applyBorder="1" applyAlignment="1" applyProtection="1">
      <alignment horizontal="center" vertical="center" wrapText="1"/>
    </xf>
    <xf numFmtId="0" fontId="0" fillId="34" borderId="0" xfId="0" applyFill="1" applyBorder="1" applyAlignment="1">
      <alignment horizontal="center" vertical="center" wrapText="1"/>
    </xf>
    <xf numFmtId="0" fontId="16" fillId="34" borderId="14" xfId="0" applyFont="1" applyFill="1" applyBorder="1" applyAlignment="1">
      <alignment horizontal="center" vertical="center" wrapText="1"/>
    </xf>
    <xf numFmtId="0" fontId="0" fillId="34" borderId="0" xfId="0" applyFill="1" applyBorder="1" applyAlignment="1" applyProtection="1">
      <alignment horizontal="center" vertical="center" wrapText="1"/>
    </xf>
    <xf numFmtId="0" fontId="0" fillId="34" borderId="0" xfId="0" applyNumberFormat="1" applyFill="1" applyBorder="1" applyAlignment="1" applyProtection="1">
      <alignment horizontal="center" vertical="center" wrapText="1"/>
    </xf>
    <xf numFmtId="0" fontId="0" fillId="34" borderId="11" xfId="0" applyFill="1" applyBorder="1" applyAlignment="1">
      <alignment vertical="center"/>
    </xf>
    <xf numFmtId="0" fontId="0" fillId="34" borderId="12" xfId="0" applyFill="1" applyBorder="1" applyAlignment="1">
      <alignment vertical="center"/>
    </xf>
    <xf numFmtId="0" fontId="0" fillId="34" borderId="13" xfId="0" applyFill="1" applyBorder="1" applyAlignment="1">
      <alignment horizontal="center" vertical="center"/>
    </xf>
    <xf numFmtId="0" fontId="0" fillId="34" borderId="13" xfId="0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right" vertical="center"/>
    </xf>
    <xf numFmtId="0" fontId="14" fillId="34" borderId="15" xfId="0" applyFont="1" applyFill="1" applyBorder="1" applyAlignment="1">
      <alignment horizontal="right" vertical="center"/>
    </xf>
    <xf numFmtId="0" fontId="0" fillId="34" borderId="0" xfId="0" applyFill="1" applyBorder="1" applyAlignment="1">
      <alignment vertical="center"/>
    </xf>
    <xf numFmtId="0" fontId="30" fillId="34" borderId="20" xfId="0" applyFont="1" applyFill="1" applyBorder="1" applyAlignment="1">
      <alignment horizontal="center" wrapText="1"/>
    </xf>
    <xf numFmtId="0" fontId="30" fillId="34" borderId="15" xfId="0" applyFont="1" applyFill="1" applyBorder="1" applyAlignment="1">
      <alignment horizontal="center" wrapText="1"/>
    </xf>
    <xf numFmtId="0" fontId="30" fillId="34" borderId="17" xfId="0" applyFont="1" applyFill="1" applyBorder="1" applyAlignment="1">
      <alignment horizontal="center" wrapText="1"/>
    </xf>
    <xf numFmtId="0" fontId="30" fillId="34" borderId="16" xfId="0" applyFont="1" applyFill="1" applyBorder="1" applyAlignment="1">
      <alignment horizont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169" fontId="34" fillId="0" borderId="0" xfId="0" applyNumberFormat="1" applyFont="1" applyFill="1" applyBorder="1" applyAlignment="1" applyProtection="1">
      <alignment horizontal="center" vertical="center" wrapText="1"/>
    </xf>
    <xf numFmtId="3" fontId="34" fillId="0" borderId="13" xfId="0" applyNumberFormat="1" applyFont="1" applyFill="1" applyBorder="1" applyAlignment="1" applyProtection="1">
      <alignment horizontal="center" vertical="center" wrapText="1"/>
    </xf>
    <xf numFmtId="3" fontId="34" fillId="0" borderId="0" xfId="0" applyNumberFormat="1" applyFont="1" applyFill="1" applyBorder="1" applyAlignment="1" applyProtection="1">
      <alignment horizontal="center" vertical="center" wrapText="1"/>
    </xf>
    <xf numFmtId="0" fontId="14" fillId="34" borderId="0" xfId="0" applyFont="1" applyFill="1" applyBorder="1" applyAlignment="1" applyProtection="1">
      <alignment horizontal="center" vertical="center" wrapText="1"/>
    </xf>
    <xf numFmtId="0" fontId="0" fillId="0" borderId="22" xfId="0" applyNumberFormat="1" applyFont="1" applyFill="1" applyBorder="1" applyAlignment="1" applyProtection="1">
      <alignment horizontal="left" vertical="center" wrapText="1"/>
    </xf>
    <xf numFmtId="3" fontId="34" fillId="0" borderId="23" xfId="0" applyNumberFormat="1" applyFont="1" applyFill="1" applyBorder="1" applyAlignment="1" applyProtection="1">
      <alignment horizontal="center" vertical="center" wrapText="1"/>
    </xf>
    <xf numFmtId="3" fontId="34" fillId="0" borderId="22" xfId="0" applyNumberFormat="1" applyFont="1" applyFill="1" applyBorder="1" applyAlignment="1" applyProtection="1">
      <alignment horizontal="center" vertical="center" wrapText="1"/>
    </xf>
    <xf numFmtId="169" fontId="34" fillId="0" borderId="22" xfId="0" applyNumberFormat="1" applyFont="1" applyFill="1" applyBorder="1" applyAlignment="1" applyProtection="1">
      <alignment horizontal="center" vertical="center" wrapText="1"/>
    </xf>
    <xf numFmtId="0" fontId="14" fillId="34" borderId="0" xfId="0" applyFont="1" applyFill="1" applyBorder="1" applyAlignment="1" applyProtection="1">
      <alignment horizontal="right" vertical="center" wrapText="1"/>
    </xf>
    <xf numFmtId="0" fontId="17" fillId="34" borderId="14" xfId="0" applyFont="1" applyFill="1" applyBorder="1" applyAlignment="1">
      <alignment horizontal="center" vertical="center" wrapText="1"/>
    </xf>
    <xf numFmtId="0" fontId="30" fillId="34" borderId="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 vertical="center" wrapText="1"/>
    </xf>
    <xf numFmtId="170" fontId="0" fillId="0" borderId="0" xfId="0" applyNumberFormat="1"/>
    <xf numFmtId="0" fontId="18" fillId="38" borderId="13" xfId="0" applyFont="1" applyFill="1" applyBorder="1" applyAlignment="1">
      <alignment horizontal="center" vertical="center"/>
    </xf>
    <xf numFmtId="0" fontId="18" fillId="37" borderId="10" xfId="0" applyFont="1" applyFill="1" applyBorder="1" applyAlignment="1">
      <alignment vertical="center" wrapText="1"/>
    </xf>
    <xf numFmtId="0" fontId="18" fillId="37" borderId="11" xfId="0" applyFont="1" applyFill="1" applyBorder="1" applyAlignment="1">
      <alignment vertical="center" wrapText="1"/>
    </xf>
    <xf numFmtId="0" fontId="36" fillId="40" borderId="13" xfId="0" applyFont="1" applyFill="1" applyBorder="1" applyAlignment="1">
      <alignment horizontal="center" vertical="center" wrapText="1"/>
    </xf>
    <xf numFmtId="0" fontId="36" fillId="40" borderId="0" xfId="0" applyFont="1" applyFill="1" applyBorder="1" applyAlignment="1">
      <alignment horizontal="center" vertical="center" wrapText="1"/>
    </xf>
    <xf numFmtId="1" fontId="20" fillId="37" borderId="0" xfId="0" applyNumberFormat="1" applyFont="1" applyFill="1" applyBorder="1" applyAlignment="1">
      <alignment horizontal="center" vertical="center"/>
    </xf>
    <xf numFmtId="0" fontId="20" fillId="40" borderId="0" xfId="0" applyFont="1" applyFill="1" applyBorder="1" applyAlignment="1">
      <alignment horizontal="right" vertical="center"/>
    </xf>
    <xf numFmtId="0" fontId="0" fillId="37" borderId="15" xfId="0" applyFill="1" applyBorder="1"/>
    <xf numFmtId="0" fontId="0" fillId="37" borderId="16" xfId="0" applyFill="1" applyBorder="1"/>
    <xf numFmtId="0" fontId="0" fillId="37" borderId="17" xfId="0" applyFill="1" applyBorder="1"/>
    <xf numFmtId="169" fontId="32" fillId="37" borderId="14" xfId="0" applyNumberFormat="1" applyFont="1" applyFill="1" applyBorder="1" applyAlignment="1">
      <alignment horizontal="center" vertical="center"/>
    </xf>
    <xf numFmtId="49" fontId="0" fillId="37" borderId="0" xfId="0" applyNumberFormat="1" applyFill="1" applyBorder="1"/>
    <xf numFmtId="49" fontId="0" fillId="37" borderId="14" xfId="0" applyNumberFormat="1" applyFill="1" applyBorder="1"/>
    <xf numFmtId="1" fontId="0" fillId="0" borderId="0" xfId="0" applyNumberFormat="1"/>
    <xf numFmtId="0" fontId="0" fillId="0" borderId="0" xfId="0" applyNumberFormat="1"/>
    <xf numFmtId="0" fontId="0" fillId="33" borderId="0" xfId="0" applyFont="1" applyFill="1" applyBorder="1" applyAlignment="1">
      <alignment wrapText="1"/>
    </xf>
    <xf numFmtId="49" fontId="18" fillId="37" borderId="11" xfId="0" applyNumberFormat="1" applyFont="1" applyFill="1" applyBorder="1"/>
    <xf numFmtId="0" fontId="36" fillId="40" borderId="0" xfId="0" applyFont="1" applyFill="1" applyBorder="1" applyAlignment="1">
      <alignment horizontal="center" wrapText="1"/>
    </xf>
    <xf numFmtId="49" fontId="0" fillId="37" borderId="13" xfId="0" applyNumberFormat="1" applyFill="1" applyBorder="1"/>
    <xf numFmtId="169" fontId="34" fillId="36" borderId="27" xfId="0" applyNumberFormat="1" applyFont="1" applyFill="1" applyBorder="1" applyAlignment="1" applyProtection="1">
      <alignment horizontal="center" vertical="center" wrapText="1"/>
    </xf>
    <xf numFmtId="0" fontId="36" fillId="0" borderId="20" xfId="0" applyFont="1" applyFill="1" applyBorder="1" applyAlignment="1">
      <alignment horizontal="center" vertical="center"/>
    </xf>
    <xf numFmtId="166" fontId="29" fillId="43" borderId="16" xfId="0" applyNumberFormat="1" applyFont="1" applyFill="1" applyBorder="1" applyAlignment="1">
      <alignment horizontal="center" vertical="center"/>
    </xf>
    <xf numFmtId="0" fontId="18" fillId="38" borderId="14" xfId="0" applyFont="1" applyFill="1" applyBorder="1" applyAlignment="1">
      <alignment horizontal="center"/>
    </xf>
    <xf numFmtId="9" fontId="20" fillId="0" borderId="0" xfId="51" applyFont="1" applyFill="1" applyBorder="1" applyAlignment="1">
      <alignment horizontal="center" vertical="center"/>
    </xf>
    <xf numFmtId="9" fontId="20" fillId="0" borderId="0" xfId="51" applyNumberFormat="1" applyFont="1" applyFill="1" applyBorder="1" applyAlignment="1">
      <alignment horizontal="center" vertical="center"/>
    </xf>
    <xf numFmtId="0" fontId="38" fillId="37" borderId="17" xfId="0" applyFont="1" applyFill="1" applyBorder="1" applyAlignment="1">
      <alignment horizontal="center" wrapText="1"/>
    </xf>
    <xf numFmtId="0" fontId="38" fillId="37" borderId="16" xfId="0" applyFont="1" applyFill="1" applyBorder="1" applyAlignment="1">
      <alignment horizontal="center" wrapText="1"/>
    </xf>
    <xf numFmtId="0" fontId="38" fillId="37" borderId="15" xfId="0" applyFont="1" applyFill="1" applyBorder="1" applyAlignment="1">
      <alignment horizontal="center" wrapText="1"/>
    </xf>
    <xf numFmtId="0" fontId="38" fillId="37" borderId="20" xfId="0" applyFont="1" applyFill="1" applyBorder="1" applyAlignment="1">
      <alignment horizontal="center" wrapText="1"/>
    </xf>
    <xf numFmtId="49" fontId="18" fillId="37" borderId="18" xfId="0" applyNumberFormat="1" applyFont="1" applyFill="1" applyBorder="1"/>
    <xf numFmtId="0" fontId="36" fillId="40" borderId="19" xfId="0" applyFont="1" applyFill="1" applyBorder="1" applyAlignment="1">
      <alignment horizontal="center" wrapText="1"/>
    </xf>
    <xf numFmtId="169" fontId="34" fillId="36" borderId="31" xfId="0" applyNumberFormat="1" applyFont="1" applyFill="1" applyBorder="1" applyAlignment="1" applyProtection="1">
      <alignment horizontal="center" vertical="center" wrapText="1"/>
    </xf>
    <xf numFmtId="169" fontId="34" fillId="36" borderId="30" xfId="0" applyNumberFormat="1" applyFont="1" applyFill="1" applyBorder="1" applyAlignment="1" applyProtection="1">
      <alignment horizontal="center" vertical="center" wrapText="1"/>
    </xf>
    <xf numFmtId="171" fontId="39" fillId="43" borderId="17" xfId="0" applyNumberFormat="1" applyFont="1" applyFill="1" applyBorder="1" applyAlignment="1">
      <alignment horizontal="center"/>
    </xf>
    <xf numFmtId="49" fontId="40" fillId="37" borderId="13" xfId="0" applyNumberFormat="1" applyFont="1" applyFill="1" applyBorder="1"/>
    <xf numFmtId="49" fontId="40" fillId="37" borderId="0" xfId="0" applyNumberFormat="1" applyFont="1" applyFill="1" applyBorder="1"/>
    <xf numFmtId="169" fontId="41" fillId="37" borderId="14" xfId="0" applyNumberFormat="1" applyFont="1" applyFill="1" applyBorder="1" applyAlignment="1">
      <alignment horizontal="center" vertical="center"/>
    </xf>
    <xf numFmtId="0" fontId="42" fillId="38" borderId="13" xfId="0" applyFont="1" applyFill="1" applyBorder="1" applyAlignment="1">
      <alignment horizontal="center" vertical="center"/>
    </xf>
    <xf numFmtId="0" fontId="43" fillId="39" borderId="0" xfId="0" applyFont="1" applyFill="1" applyBorder="1" applyAlignment="1">
      <alignment horizontal="center" wrapText="1"/>
    </xf>
    <xf numFmtId="0" fontId="43" fillId="39" borderId="0" xfId="0" applyFont="1" applyFill="1" applyBorder="1" applyAlignment="1">
      <alignment horizontal="center" vertical="center" wrapText="1"/>
    </xf>
    <xf numFmtId="0" fontId="42" fillId="38" borderId="14" xfId="0" applyFont="1" applyFill="1" applyBorder="1" applyAlignment="1">
      <alignment horizontal="center"/>
    </xf>
    <xf numFmtId="0" fontId="43" fillId="39" borderId="16" xfId="0" applyFont="1" applyFill="1" applyBorder="1" applyAlignment="1">
      <alignment horizontal="center" wrapText="1"/>
    </xf>
    <xf numFmtId="0" fontId="43" fillId="43" borderId="12" xfId="0" applyFont="1" applyFill="1" applyBorder="1" applyAlignment="1">
      <alignment horizontal="center"/>
    </xf>
    <xf numFmtId="0" fontId="43" fillId="40" borderId="0" xfId="0" applyFont="1" applyFill="1" applyBorder="1" applyAlignment="1">
      <alignment horizontal="right" vertical="center"/>
    </xf>
    <xf numFmtId="9" fontId="43" fillId="0" borderId="0" xfId="51" applyFont="1" applyFill="1" applyBorder="1" applyAlignment="1">
      <alignment horizontal="center" vertical="center"/>
    </xf>
    <xf numFmtId="0" fontId="43" fillId="43" borderId="14" xfId="0" applyFont="1" applyFill="1" applyBorder="1" applyAlignment="1">
      <alignment horizontal="center"/>
    </xf>
    <xf numFmtId="9" fontId="43" fillId="0" borderId="0" xfId="51" applyNumberFormat="1" applyFont="1" applyFill="1" applyBorder="1" applyAlignment="1">
      <alignment horizontal="center" vertical="center"/>
    </xf>
    <xf numFmtId="1" fontId="44" fillId="38" borderId="26" xfId="0" applyNumberFormat="1" applyFont="1" applyFill="1" applyBorder="1" applyAlignment="1">
      <alignment horizontal="center" vertical="center"/>
    </xf>
    <xf numFmtId="166" fontId="45" fillId="43" borderId="0" xfId="0" applyNumberFormat="1" applyFont="1" applyFill="1" applyBorder="1" applyAlignment="1">
      <alignment horizontal="center" vertical="center"/>
    </xf>
    <xf numFmtId="171" fontId="43" fillId="43" borderId="14" xfId="0" applyNumberFormat="1" applyFont="1" applyFill="1" applyBorder="1" applyAlignment="1">
      <alignment horizontal="center"/>
    </xf>
    <xf numFmtId="1" fontId="43" fillId="37" borderId="0" xfId="0" applyNumberFormat="1" applyFont="1" applyFill="1" applyBorder="1" applyAlignment="1">
      <alignment horizontal="center" vertical="center"/>
    </xf>
    <xf numFmtId="49" fontId="40" fillId="37" borderId="14" xfId="0" applyNumberFormat="1" applyFont="1" applyFill="1" applyBorder="1"/>
    <xf numFmtId="0" fontId="40" fillId="37" borderId="15" xfId="0" applyFont="1" applyFill="1" applyBorder="1"/>
    <xf numFmtId="0" fontId="40" fillId="37" borderId="16" xfId="0" applyFont="1" applyFill="1" applyBorder="1"/>
    <xf numFmtId="0" fontId="40" fillId="37" borderId="17" xfId="0" applyFont="1" applyFill="1" applyBorder="1"/>
    <xf numFmtId="1" fontId="44" fillId="38" borderId="28" xfId="0" applyNumberFormat="1" applyFont="1" applyFill="1" applyBorder="1" applyAlignment="1">
      <alignment horizontal="center" vertical="center"/>
    </xf>
    <xf numFmtId="166" fontId="45" fillId="43" borderId="16" xfId="0" applyNumberFormat="1" applyFont="1" applyFill="1" applyBorder="1" applyAlignment="1">
      <alignment horizontal="center" vertical="center"/>
    </xf>
    <xf numFmtId="171" fontId="43" fillId="43" borderId="17" xfId="0" applyNumberFormat="1" applyFont="1" applyFill="1" applyBorder="1" applyAlignment="1">
      <alignment horizontal="center"/>
    </xf>
    <xf numFmtId="0" fontId="43" fillId="0" borderId="19" xfId="0" applyFont="1" applyFill="1" applyBorder="1" applyAlignment="1">
      <alignment horizontal="left" vertical="center"/>
    </xf>
    <xf numFmtId="0" fontId="42" fillId="0" borderId="18" xfId="0" applyFont="1" applyFill="1" applyBorder="1" applyAlignment="1">
      <alignment horizontal="left" vertical="center"/>
    </xf>
    <xf numFmtId="0" fontId="42" fillId="0" borderId="19" xfId="0" applyFont="1" applyFill="1" applyBorder="1" applyAlignment="1">
      <alignment horizontal="left" vertical="center"/>
    </xf>
    <xf numFmtId="0" fontId="43" fillId="0" borderId="20" xfId="0" applyFont="1" applyFill="1" applyBorder="1" applyAlignment="1">
      <alignment horizontal="left" vertical="center"/>
    </xf>
    <xf numFmtId="0" fontId="42" fillId="0" borderId="20" xfId="0" applyFont="1" applyFill="1" applyBorder="1" applyAlignment="1">
      <alignment horizontal="left" vertical="center"/>
    </xf>
    <xf numFmtId="0" fontId="20" fillId="39" borderId="10" xfId="0" applyFont="1" applyFill="1" applyBorder="1" applyAlignment="1">
      <alignment horizontal="center" vertical="center" wrapText="1"/>
    </xf>
    <xf numFmtId="0" fontId="20" fillId="39" borderId="0" xfId="0" applyFont="1" applyFill="1" applyBorder="1" applyAlignment="1">
      <alignment horizontal="center" wrapText="1"/>
    </xf>
    <xf numFmtId="0" fontId="20" fillId="39" borderId="16" xfId="0" applyFont="1" applyFill="1" applyBorder="1" applyAlignment="1">
      <alignment horizontal="center" wrapText="1"/>
    </xf>
    <xf numFmtId="0" fontId="14" fillId="38" borderId="11" xfId="0" applyFont="1" applyFill="1" applyBorder="1" applyAlignment="1">
      <alignment horizontal="center" vertical="center"/>
    </xf>
    <xf numFmtId="0" fontId="14" fillId="38" borderId="12" xfId="0" applyFont="1" applyFill="1" applyBorder="1" applyAlignment="1">
      <alignment horizontal="center" vertical="center"/>
    </xf>
    <xf numFmtId="0" fontId="22" fillId="39" borderId="18" xfId="0" applyFont="1" applyFill="1" applyBorder="1" applyAlignment="1">
      <alignment horizontal="center" vertical="center" wrapText="1"/>
    </xf>
    <xf numFmtId="0" fontId="22" fillId="39" borderId="20" xfId="0" applyFont="1" applyFill="1" applyBorder="1" applyAlignment="1">
      <alignment horizontal="center" vertical="center" wrapText="1"/>
    </xf>
    <xf numFmtId="0" fontId="20" fillId="39" borderId="0" xfId="0" applyFont="1" applyFill="1" applyBorder="1" applyAlignment="1">
      <alignment horizontal="center" vertical="center" wrapText="1"/>
    </xf>
    <xf numFmtId="0" fontId="20" fillId="39" borderId="16" xfId="0" applyFont="1" applyFill="1" applyBorder="1" applyAlignment="1">
      <alignment horizontal="center" vertical="center" wrapText="1"/>
    </xf>
    <xf numFmtId="0" fontId="46" fillId="44" borderId="25" xfId="0" applyFont="1" applyFill="1" applyBorder="1" applyAlignment="1">
      <alignment horizontal="center" wrapText="1"/>
    </xf>
    <xf numFmtId="0" fontId="46" fillId="44" borderId="29" xfId="0" applyFont="1" applyFill="1" applyBorder="1" applyAlignment="1">
      <alignment horizontal="center" wrapText="1"/>
    </xf>
    <xf numFmtId="169" fontId="47" fillId="44" borderId="25" xfId="0" applyNumberFormat="1" applyFont="1" applyFill="1" applyBorder="1" applyAlignment="1">
      <alignment horizontal="center"/>
    </xf>
    <xf numFmtId="0" fontId="48" fillId="44" borderId="16" xfId="0" applyFont="1" applyFill="1" applyBorder="1" applyAlignment="1">
      <alignment horizontal="center" wrapText="1"/>
    </xf>
    <xf numFmtId="0" fontId="48" fillId="44" borderId="17" xfId="0" applyFont="1" applyFill="1" applyBorder="1" applyAlignment="1">
      <alignment horizontal="center" wrapText="1"/>
    </xf>
    <xf numFmtId="169" fontId="49" fillId="44" borderId="27" xfId="0" applyNumberFormat="1" applyFont="1" applyFill="1" applyBorder="1" applyAlignment="1" applyProtection="1">
      <alignment horizontal="center" vertical="center" wrapText="1"/>
    </xf>
    <xf numFmtId="169" fontId="49" fillId="44" borderId="30" xfId="0" applyNumberFormat="1" applyFont="1" applyFill="1" applyBorder="1" applyAlignment="1" applyProtection="1">
      <alignment horizontal="center" vertical="center" wrapText="1"/>
    </xf>
    <xf numFmtId="169" fontId="49" fillId="44" borderId="31" xfId="0" applyNumberFormat="1" applyFont="1" applyFill="1" applyBorder="1" applyAlignment="1" applyProtection="1">
      <alignment horizontal="center" vertical="center" wrapText="1"/>
    </xf>
    <xf numFmtId="0" fontId="46" fillId="44" borderId="32" xfId="0" applyFont="1" applyFill="1" applyBorder="1" applyAlignment="1">
      <alignment horizontal="center" wrapText="1"/>
    </xf>
    <xf numFmtId="0" fontId="46" fillId="44" borderId="24" xfId="0" applyFont="1" applyFill="1" applyBorder="1" applyAlignment="1">
      <alignment horizontal="center" wrapText="1"/>
    </xf>
    <xf numFmtId="169" fontId="47" fillId="44" borderId="24" xfId="0" applyNumberFormat="1" applyFont="1" applyFill="1" applyBorder="1" applyAlignment="1">
      <alignment horizontal="center"/>
    </xf>
    <xf numFmtId="0" fontId="50" fillId="44" borderId="11" xfId="0" applyFont="1" applyFill="1" applyBorder="1" applyAlignment="1">
      <alignment horizontal="center" wrapText="1"/>
    </xf>
    <xf numFmtId="0" fontId="50" fillId="44" borderId="12" xfId="0" applyFont="1" applyFill="1" applyBorder="1" applyAlignment="1">
      <alignment horizontal="center" wrapText="1"/>
    </xf>
    <xf numFmtId="169" fontId="49" fillId="44" borderId="33" xfId="0" applyNumberFormat="1" applyFont="1" applyFill="1" applyBorder="1" applyAlignment="1" applyProtection="1">
      <alignment horizontal="center" vertical="center" wrapText="1"/>
    </xf>
    <xf numFmtId="169" fontId="49" fillId="44" borderId="34" xfId="0" applyNumberFormat="1" applyFont="1" applyFill="1" applyBorder="1" applyAlignment="1" applyProtection="1">
      <alignment horizontal="center" vertical="center" wrapText="1"/>
    </xf>
    <xf numFmtId="169" fontId="49" fillId="44" borderId="35" xfId="0" applyNumberFormat="1" applyFont="1" applyFill="1" applyBorder="1" applyAlignment="1" applyProtection="1">
      <alignment horizontal="center" vertical="center" wrapText="1"/>
    </xf>
    <xf numFmtId="169" fontId="34" fillId="36" borderId="36" xfId="0" applyNumberFormat="1" applyFont="1" applyFill="1" applyBorder="1" applyAlignment="1" applyProtection="1">
      <alignment horizontal="center" vertical="center" wrapText="1"/>
    </xf>
    <xf numFmtId="169" fontId="34" fillId="36" borderId="37" xfId="0" applyNumberFormat="1" applyFont="1" applyFill="1" applyBorder="1" applyAlignment="1" applyProtection="1">
      <alignment horizontal="center" vertical="center" wrapText="1"/>
    </xf>
    <xf numFmtId="0" fontId="18" fillId="36" borderId="37" xfId="0" applyFont="1" applyFill="1" applyBorder="1" applyAlignment="1">
      <alignment horizontal="center" vertical="center" wrapText="1"/>
    </xf>
    <xf numFmtId="169" fontId="34" fillId="36" borderId="38" xfId="0" applyNumberFormat="1" applyFont="1" applyFill="1" applyBorder="1" applyAlignment="1" applyProtection="1">
      <alignment horizontal="center" vertical="center" wrapText="1"/>
    </xf>
    <xf numFmtId="0" fontId="18" fillId="36" borderId="39" xfId="0" applyFont="1" applyFill="1" applyBorder="1" applyAlignment="1">
      <alignment horizontal="center" vertical="center" wrapText="1"/>
    </xf>
    <xf numFmtId="169" fontId="34" fillId="36" borderId="40" xfId="0" applyNumberFormat="1" applyFont="1" applyFill="1" applyBorder="1" applyAlignment="1" applyProtection="1">
      <alignment horizontal="center" vertical="center" wrapText="1"/>
    </xf>
    <xf numFmtId="0" fontId="18" fillId="36" borderId="41" xfId="0" applyFont="1" applyFill="1" applyBorder="1" applyAlignment="1">
      <alignment horizontal="center" vertical="center" wrapText="1"/>
    </xf>
    <xf numFmtId="169" fontId="34" fillId="36" borderId="42" xfId="0" applyNumberFormat="1" applyFont="1" applyFill="1" applyBorder="1" applyAlignment="1" applyProtection="1">
      <alignment horizontal="center" vertical="center" wrapText="1"/>
    </xf>
    <xf numFmtId="169" fontId="34" fillId="36" borderId="43" xfId="0" applyNumberFormat="1" applyFont="1" applyFill="1" applyBorder="1" applyAlignment="1" applyProtection="1">
      <alignment horizontal="center" vertical="center" wrapText="1"/>
    </xf>
    <xf numFmtId="0" fontId="18" fillId="36" borderId="44" xfId="0" applyFont="1" applyFill="1" applyBorder="1" applyAlignment="1">
      <alignment horizontal="center" vertical="center" wrapText="1"/>
    </xf>
    <xf numFmtId="0" fontId="18" fillId="37" borderId="19" xfId="0" applyFont="1" applyFill="1" applyBorder="1" applyAlignment="1">
      <alignment wrapText="1"/>
    </xf>
    <xf numFmtId="0" fontId="18" fillId="37" borderId="0" xfId="0" applyFont="1" applyFill="1" applyBorder="1" applyAlignment="1">
      <alignment wrapText="1"/>
    </xf>
    <xf numFmtId="166" fontId="22" fillId="36" borderId="45" xfId="0" applyNumberFormat="1" applyFont="1" applyFill="1" applyBorder="1" applyAlignment="1" applyProtection="1">
      <alignment horizontal="center" vertical="center" wrapText="1"/>
    </xf>
    <xf numFmtId="0" fontId="23" fillId="36" borderId="45" xfId="0" applyFont="1" applyFill="1" applyBorder="1" applyAlignment="1">
      <alignment horizontal="center" vertical="center" wrapText="1"/>
    </xf>
    <xf numFmtId="0" fontId="26" fillId="35" borderId="46" xfId="0" applyFont="1" applyFill="1" applyBorder="1" applyAlignment="1">
      <alignment wrapText="1"/>
    </xf>
    <xf numFmtId="167" fontId="20" fillId="33" borderId="47" xfId="1" applyNumberFormat="1" applyFont="1" applyFill="1" applyBorder="1" applyAlignment="1">
      <alignment horizontal="center" vertical="center" wrapText="1"/>
    </xf>
    <xf numFmtId="0" fontId="31" fillId="34" borderId="48" xfId="0" applyFont="1" applyFill="1" applyBorder="1" applyAlignment="1">
      <alignment horizontal="center" wrapText="1"/>
    </xf>
    <xf numFmtId="0" fontId="22" fillId="36" borderId="47" xfId="0" applyFont="1" applyFill="1" applyBorder="1" applyAlignment="1">
      <alignment horizontal="center" vertical="center" wrapText="1"/>
    </xf>
    <xf numFmtId="0" fontId="22" fillId="36" borderId="49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wrapText="1"/>
    </xf>
    <xf numFmtId="0" fontId="16" fillId="33" borderId="12" xfId="0" applyFont="1" applyFill="1" applyBorder="1" applyAlignment="1">
      <alignment wrapText="1"/>
    </xf>
    <xf numFmtId="0" fontId="16" fillId="33" borderId="0" xfId="0" applyFont="1" applyFill="1" applyBorder="1" applyAlignment="1">
      <alignment vertical="top" wrapText="1"/>
    </xf>
    <xf numFmtId="0" fontId="16" fillId="33" borderId="14" xfId="0" applyFont="1" applyFill="1" applyBorder="1" applyAlignment="1">
      <alignment vertical="top" wrapText="1"/>
    </xf>
    <xf numFmtId="0" fontId="0" fillId="34" borderId="0" xfId="0" applyFill="1"/>
    <xf numFmtId="0" fontId="0" fillId="34" borderId="10" xfId="0" applyFill="1" applyBorder="1" applyAlignment="1">
      <alignment vertical="center"/>
    </xf>
    <xf numFmtId="0" fontId="16" fillId="34" borderId="11" xfId="0" applyFont="1" applyFill="1" applyBorder="1" applyAlignment="1">
      <alignment horizontal="center"/>
    </xf>
    <xf numFmtId="0" fontId="0" fillId="34" borderId="11" xfId="0" applyFill="1" applyBorder="1" applyAlignment="1">
      <alignment horizontal="center"/>
    </xf>
    <xf numFmtId="49" fontId="16" fillId="45" borderId="50" xfId="0" applyNumberFormat="1" applyFont="1" applyFill="1" applyBorder="1" applyAlignment="1">
      <alignment vertical="center"/>
    </xf>
    <xf numFmtId="0" fontId="0" fillId="45" borderId="50" xfId="0" applyFill="1" applyBorder="1" applyAlignment="1">
      <alignment horizontal="center"/>
    </xf>
    <xf numFmtId="0" fontId="0" fillId="45" borderId="50" xfId="0" applyFill="1" applyBorder="1"/>
    <xf numFmtId="0" fontId="14" fillId="41" borderId="0" xfId="0" applyFont="1" applyFill="1"/>
    <xf numFmtId="169" fontId="33" fillId="0" borderId="13" xfId="0" applyNumberFormat="1" applyFont="1" applyFill="1" applyBorder="1" applyAlignment="1" applyProtection="1">
      <alignment horizontal="center" vertical="center" wrapText="1"/>
    </xf>
    <xf numFmtId="169" fontId="33" fillId="0" borderId="0" xfId="0" applyNumberFormat="1" applyFont="1" applyFill="1" applyBorder="1" applyAlignment="1" applyProtection="1">
      <alignment horizontal="center" vertical="center" wrapText="1"/>
    </xf>
    <xf numFmtId="169" fontId="33" fillId="0" borderId="22" xfId="0" applyNumberFormat="1" applyFont="1" applyFill="1" applyBorder="1" applyAlignment="1" applyProtection="1">
      <alignment horizontal="center" vertical="center" wrapText="1"/>
    </xf>
    <xf numFmtId="0" fontId="18" fillId="43" borderId="11" xfId="0" applyFont="1" applyFill="1" applyBorder="1" applyAlignment="1">
      <alignment vertical="center" wrapText="1"/>
    </xf>
    <xf numFmtId="0" fontId="36" fillId="42" borderId="0" xfId="0" applyFont="1" applyFill="1" applyBorder="1" applyAlignment="1">
      <alignment horizontal="center" wrapText="1"/>
    </xf>
    <xf numFmtId="0" fontId="38" fillId="43" borderId="16" xfId="0" applyFont="1" applyFill="1" applyBorder="1" applyAlignment="1">
      <alignment horizontal="center" wrapText="1"/>
    </xf>
    <xf numFmtId="0" fontId="18" fillId="37" borderId="12" xfId="0" applyFont="1" applyFill="1" applyBorder="1" applyAlignment="1">
      <alignment horizontal="center" vertical="center"/>
    </xf>
    <xf numFmtId="0" fontId="36" fillId="40" borderId="14" xfId="0" applyFont="1" applyFill="1" applyBorder="1" applyAlignment="1">
      <alignment horizontal="center" vertical="center" wrapText="1"/>
    </xf>
    <xf numFmtId="165" fontId="20" fillId="37" borderId="19" xfId="1" applyNumberFormat="1" applyFont="1" applyFill="1" applyBorder="1" applyAlignment="1">
      <alignment vertical="center" wrapText="1"/>
    </xf>
    <xf numFmtId="0" fontId="20" fillId="40" borderId="19" xfId="0" applyFont="1" applyFill="1" applyBorder="1" applyAlignment="1">
      <alignment horizontal="center" wrapText="1"/>
    </xf>
    <xf numFmtId="0" fontId="20" fillId="40" borderId="0" xfId="0" applyFont="1" applyFill="1" applyBorder="1" applyAlignment="1">
      <alignment horizontal="center" wrapText="1"/>
    </xf>
    <xf numFmtId="0" fontId="38" fillId="43" borderId="15" xfId="0" applyFont="1" applyFill="1" applyBorder="1" applyAlignment="1">
      <alignment horizontal="center" wrapText="1"/>
    </xf>
    <xf numFmtId="0" fontId="38" fillId="43" borderId="17" xfId="0" applyFont="1" applyFill="1" applyBorder="1" applyAlignment="1">
      <alignment horizontal="center" wrapText="1"/>
    </xf>
    <xf numFmtId="0" fontId="18" fillId="43" borderId="15" xfId="0" applyFont="1" applyFill="1" applyBorder="1" applyAlignment="1">
      <alignment horizontal="center" wrapText="1"/>
    </xf>
    <xf numFmtId="0" fontId="18" fillId="43" borderId="24" xfId="0" applyFont="1" applyFill="1" applyBorder="1" applyAlignment="1">
      <alignment horizontal="center" wrapText="1"/>
    </xf>
    <xf numFmtId="0" fontId="18" fillId="43" borderId="14" xfId="0" applyFont="1" applyFill="1" applyBorder="1" applyAlignment="1">
      <alignment horizontal="center" wrapText="1"/>
    </xf>
    <xf numFmtId="0" fontId="18" fillId="43" borderId="10" xfId="0" applyFont="1" applyFill="1" applyBorder="1" applyAlignment="1">
      <alignment vertical="center" wrapText="1"/>
    </xf>
    <xf numFmtId="0" fontId="36" fillId="42" borderId="13" xfId="0" applyFont="1" applyFill="1" applyBorder="1" applyAlignment="1">
      <alignment horizontal="center" wrapText="1"/>
    </xf>
    <xf numFmtId="169" fontId="34" fillId="0" borderId="16" xfId="0" applyNumberFormat="1" applyFont="1" applyFill="1" applyBorder="1" applyAlignment="1" applyProtection="1">
      <alignment horizontal="center" vertical="center" wrapText="1"/>
    </xf>
    <xf numFmtId="0" fontId="38" fillId="43" borderId="13" xfId="0" applyFont="1" applyFill="1" applyBorder="1" applyAlignment="1">
      <alignment horizontal="center" wrapText="1"/>
    </xf>
    <xf numFmtId="169" fontId="52" fillId="36" borderId="27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29" fillId="42" borderId="11" xfId="0" applyFont="1" applyFill="1" applyBorder="1" applyAlignment="1">
      <alignment horizontal="center" vertical="center" wrapText="1"/>
    </xf>
    <xf numFmtId="0" fontId="39" fillId="43" borderId="12" xfId="0" applyFont="1" applyFill="1" applyBorder="1" applyAlignment="1">
      <alignment horizontal="center"/>
    </xf>
    <xf numFmtId="0" fontId="36" fillId="0" borderId="54" xfId="0" applyFont="1" applyFill="1" applyBorder="1" applyAlignment="1">
      <alignment horizontal="center" vertical="center"/>
    </xf>
    <xf numFmtId="166" fontId="29" fillId="43" borderId="55" xfId="0" applyNumberFormat="1" applyFont="1" applyFill="1" applyBorder="1" applyAlignment="1">
      <alignment horizontal="center" vertical="center"/>
    </xf>
    <xf numFmtId="171" fontId="39" fillId="43" borderId="56" xfId="0" applyNumberFormat="1" applyFont="1" applyFill="1" applyBorder="1" applyAlignment="1">
      <alignment horizontal="center"/>
    </xf>
    <xf numFmtId="0" fontId="36" fillId="0" borderId="57" xfId="0" applyFont="1" applyFill="1" applyBorder="1" applyAlignment="1">
      <alignment horizontal="center" vertical="center"/>
    </xf>
    <xf numFmtId="1" fontId="37" fillId="38" borderId="58" xfId="0" applyNumberFormat="1" applyFont="1" applyFill="1" applyBorder="1" applyAlignment="1">
      <alignment horizontal="center" vertical="center"/>
    </xf>
    <xf numFmtId="166" fontId="29" fillId="43" borderId="59" xfId="0" applyNumberFormat="1" applyFont="1" applyFill="1" applyBorder="1" applyAlignment="1">
      <alignment horizontal="center" vertical="center"/>
    </xf>
    <xf numFmtId="171" fontId="39" fillId="43" borderId="60" xfId="0" applyNumberFormat="1" applyFont="1" applyFill="1" applyBorder="1" applyAlignment="1">
      <alignment horizontal="center"/>
    </xf>
    <xf numFmtId="1" fontId="37" fillId="38" borderId="53" xfId="0" applyNumberFormat="1" applyFont="1" applyFill="1" applyBorder="1" applyAlignment="1">
      <alignment horizontal="center" vertical="center"/>
    </xf>
    <xf numFmtId="0" fontId="20" fillId="39" borderId="52" xfId="0" applyFont="1" applyFill="1" applyBorder="1" applyAlignment="1">
      <alignment horizontal="center" vertical="center" wrapText="1"/>
    </xf>
    <xf numFmtId="1" fontId="37" fillId="38" borderId="61" xfId="0" applyNumberFormat="1" applyFont="1" applyFill="1" applyBorder="1" applyAlignment="1">
      <alignment horizontal="center" vertical="center"/>
    </xf>
    <xf numFmtId="0" fontId="20" fillId="39" borderId="15" xfId="0" applyFont="1" applyFill="1" applyBorder="1" applyAlignment="1">
      <alignment horizontal="center" vertical="center" wrapText="1"/>
    </xf>
    <xf numFmtId="0" fontId="20" fillId="39" borderId="53" xfId="0" applyFont="1" applyFill="1" applyBorder="1" applyAlignment="1">
      <alignment horizontal="center" vertical="center" wrapText="1"/>
    </xf>
    <xf numFmtId="0" fontId="29" fillId="42" borderId="51" xfId="0" applyFont="1" applyFill="1" applyBorder="1" applyAlignment="1">
      <alignment horizontal="center" vertical="center" wrapText="1"/>
    </xf>
    <xf numFmtId="0" fontId="39" fillId="43" borderId="17" xfId="0" applyFont="1" applyFill="1" applyBorder="1" applyAlignment="1">
      <alignment horizontal="center"/>
    </xf>
    <xf numFmtId="166" fontId="22" fillId="0" borderId="19" xfId="0" applyNumberFormat="1" applyFont="1" applyFill="1" applyBorder="1" applyAlignment="1" applyProtection="1">
      <alignment horizontal="center" vertical="center" wrapText="1"/>
    </xf>
    <xf numFmtId="3" fontId="20" fillId="33" borderId="10" xfId="1" applyNumberFormat="1" applyFont="1" applyFill="1" applyBorder="1" applyAlignment="1" applyProtection="1">
      <alignment horizontal="center" vertical="center" wrapText="1"/>
    </xf>
    <xf numFmtId="3" fontId="20" fillId="33" borderId="11" xfId="1" applyNumberFormat="1" applyFont="1" applyFill="1" applyBorder="1" applyAlignment="1" applyProtection="1">
      <alignment horizontal="center" vertical="center" wrapText="1"/>
    </xf>
    <xf numFmtId="3" fontId="20" fillId="33" borderId="12" xfId="1" applyNumberFormat="1" applyFont="1" applyFill="1" applyBorder="1" applyAlignment="1" applyProtection="1">
      <alignment horizontal="center" vertical="center" wrapText="1"/>
    </xf>
    <xf numFmtId="3" fontId="20" fillId="33" borderId="15" xfId="1" applyNumberFormat="1" applyFont="1" applyFill="1" applyBorder="1" applyAlignment="1" applyProtection="1">
      <alignment horizontal="center" vertical="center" wrapText="1"/>
    </xf>
    <xf numFmtId="3" fontId="36" fillId="33" borderId="16" xfId="0" applyNumberFormat="1" applyFont="1" applyFill="1" applyBorder="1" applyAlignment="1" applyProtection="1">
      <alignment horizontal="center"/>
    </xf>
    <xf numFmtId="3" fontId="36" fillId="33" borderId="17" xfId="0" applyNumberFormat="1" applyFont="1" applyFill="1" applyBorder="1" applyAlignment="1" applyProtection="1">
      <alignment horizontal="center"/>
    </xf>
    <xf numFmtId="49" fontId="18" fillId="34" borderId="12" xfId="0" applyNumberFormat="1" applyFont="1" applyFill="1" applyBorder="1"/>
    <xf numFmtId="49" fontId="18" fillId="34" borderId="11" xfId="0" applyNumberFormat="1" applyFont="1" applyFill="1" applyBorder="1"/>
    <xf numFmtId="49" fontId="18" fillId="34" borderId="10" xfId="0" applyNumberFormat="1" applyFont="1" applyFill="1" applyBorder="1"/>
    <xf numFmtId="0" fontId="18" fillId="34" borderId="18" xfId="0" applyFont="1" applyFill="1" applyBorder="1" applyAlignment="1">
      <alignment horizontal="center" vertical="center"/>
    </xf>
    <xf numFmtId="0" fontId="36" fillId="35" borderId="14" xfId="0" applyFont="1" applyFill="1" applyBorder="1" applyAlignment="1">
      <alignment horizontal="center" wrapText="1"/>
    </xf>
    <xf numFmtId="0" fontId="36" fillId="35" borderId="19" xfId="0" applyFont="1" applyFill="1" applyBorder="1" applyAlignment="1">
      <alignment horizontal="center" wrapText="1"/>
    </xf>
    <xf numFmtId="0" fontId="36" fillId="35" borderId="13" xfId="0" applyFont="1" applyFill="1" applyBorder="1" applyAlignment="1">
      <alignment horizontal="center"/>
    </xf>
    <xf numFmtId="0" fontId="36" fillId="35" borderId="13" xfId="0" applyFont="1" applyFill="1" applyBorder="1" applyAlignment="1">
      <alignment horizontal="center" wrapText="1"/>
    </xf>
    <xf numFmtId="0" fontId="36" fillId="35" borderId="19" xfId="0" applyFont="1" applyFill="1" applyBorder="1" applyAlignment="1">
      <alignment horizontal="center" vertical="center" wrapText="1"/>
    </xf>
    <xf numFmtId="0" fontId="36" fillId="35" borderId="0" xfId="0" applyFont="1" applyFill="1" applyBorder="1" applyAlignment="1" applyProtection="1">
      <alignment horizontal="center" wrapText="1"/>
    </xf>
    <xf numFmtId="0" fontId="36" fillId="35" borderId="0" xfId="0" applyFont="1" applyFill="1" applyBorder="1" applyAlignment="1">
      <alignment horizontal="center" wrapText="1"/>
    </xf>
    <xf numFmtId="0" fontId="36" fillId="35" borderId="47" xfId="0" applyFont="1" applyFill="1" applyBorder="1" applyAlignment="1" applyProtection="1">
      <alignment horizontal="center" wrapText="1"/>
    </xf>
    <xf numFmtId="0" fontId="36" fillId="35" borderId="13" xfId="0" applyFont="1" applyFill="1" applyBorder="1" applyAlignment="1">
      <alignment horizontal="center" vertical="center" wrapText="1"/>
    </xf>
    <xf numFmtId="0" fontId="36" fillId="35" borderId="0" xfId="0" applyFont="1" applyFill="1" applyBorder="1" applyAlignment="1">
      <alignment horizontal="center" vertical="center" wrapText="1"/>
    </xf>
    <xf numFmtId="0" fontId="36" fillId="35" borderId="14" xfId="0" applyFont="1" applyFill="1" applyBorder="1" applyAlignment="1">
      <alignment horizontal="center" vertical="center" wrapText="1"/>
    </xf>
    <xf numFmtId="0" fontId="14" fillId="38" borderId="10" xfId="0" applyFont="1" applyFill="1" applyBorder="1" applyAlignment="1">
      <alignment horizontal="left" vertical="center"/>
    </xf>
    <xf numFmtId="0" fontId="18" fillId="34" borderId="10" xfId="0" applyFont="1" applyFill="1" applyBorder="1" applyAlignment="1">
      <alignment horizontal="left" vertical="center"/>
    </xf>
    <xf numFmtId="0" fontId="18" fillId="34" borderId="11" xfId="0" applyFont="1" applyFill="1" applyBorder="1" applyAlignment="1">
      <alignment horizontal="left" vertical="center"/>
    </xf>
    <xf numFmtId="0" fontId="18" fillId="34" borderId="12" xfId="0" applyFont="1" applyFill="1" applyBorder="1" applyAlignment="1">
      <alignment horizontal="left" vertical="center"/>
    </xf>
    <xf numFmtId="0" fontId="36" fillId="34" borderId="11" xfId="0" applyFont="1" applyFill="1" applyBorder="1" applyAlignment="1">
      <alignment horizontal="center" vertical="center"/>
    </xf>
    <xf numFmtId="0" fontId="16" fillId="33" borderId="0" xfId="0" applyFont="1" applyFill="1" applyBorder="1" applyAlignment="1">
      <alignment horizontal="center" wrapText="1"/>
    </xf>
    <xf numFmtId="0" fontId="0" fillId="34" borderId="0" xfId="0" applyFill="1" applyAlignment="1">
      <alignment horizontal="center"/>
    </xf>
    <xf numFmtId="165" fontId="20" fillId="33" borderId="11" xfId="1" applyNumberFormat="1" applyFont="1" applyFill="1" applyBorder="1" applyAlignment="1">
      <alignment horizontal="right" vertical="center" wrapText="1"/>
    </xf>
    <xf numFmtId="165" fontId="20" fillId="33" borderId="16" xfId="1" applyNumberFormat="1" applyFont="1" applyFill="1" applyBorder="1" applyAlignment="1">
      <alignment horizontal="right" vertical="center" wrapText="1"/>
    </xf>
    <xf numFmtId="0" fontId="0" fillId="37" borderId="10" xfId="0" applyFill="1" applyBorder="1" applyAlignment="1">
      <alignment horizontal="center" wrapText="1"/>
    </xf>
    <xf numFmtId="0" fontId="0" fillId="37" borderId="11" xfId="0" applyFill="1" applyBorder="1" applyAlignment="1">
      <alignment horizontal="center" wrapText="1"/>
    </xf>
    <xf numFmtId="0" fontId="0" fillId="37" borderId="12" xfId="0" applyFill="1" applyBorder="1" applyAlignment="1">
      <alignment horizontal="center" wrapText="1"/>
    </xf>
    <xf numFmtId="0" fontId="39" fillId="38" borderId="18" xfId="0" applyFont="1" applyFill="1" applyBorder="1" applyAlignment="1">
      <alignment horizontal="center" vertical="center" wrapText="1"/>
    </xf>
    <xf numFmtId="0" fontId="39" fillId="38" borderId="20" xfId="0" applyFont="1" applyFill="1" applyBorder="1" applyAlignment="1">
      <alignment horizontal="center" vertical="center" wrapText="1"/>
    </xf>
    <xf numFmtId="0" fontId="36" fillId="43" borderId="10" xfId="0" applyFont="1" applyFill="1" applyBorder="1" applyAlignment="1">
      <alignment horizontal="center" vertical="center" wrapText="1"/>
    </xf>
    <xf numFmtId="0" fontId="36" fillId="43" borderId="11" xfId="0" applyFont="1" applyFill="1" applyBorder="1" applyAlignment="1">
      <alignment horizontal="center" vertical="center" wrapText="1"/>
    </xf>
    <xf numFmtId="0" fontId="36" fillId="43" borderId="12" xfId="0" applyFont="1" applyFill="1" applyBorder="1" applyAlignment="1">
      <alignment horizontal="center" vertical="center" wrapText="1"/>
    </xf>
    <xf numFmtId="165" fontId="20" fillId="33" borderId="10" xfId="1" applyNumberFormat="1" applyFont="1" applyFill="1" applyBorder="1" applyAlignment="1">
      <alignment horizontal="right" vertical="center" wrapText="1"/>
    </xf>
    <xf numFmtId="165" fontId="20" fillId="33" borderId="12" xfId="1" applyNumberFormat="1" applyFont="1" applyFill="1" applyBorder="1" applyAlignment="1">
      <alignment horizontal="right" vertical="center" wrapText="1"/>
    </xf>
    <xf numFmtId="165" fontId="20" fillId="33" borderId="15" xfId="1" applyNumberFormat="1" applyFont="1" applyFill="1" applyBorder="1" applyAlignment="1">
      <alignment horizontal="right" vertical="center" wrapText="1"/>
    </xf>
    <xf numFmtId="165" fontId="20" fillId="33" borderId="17" xfId="1" applyNumberFormat="1" applyFont="1" applyFill="1" applyBorder="1" applyAlignment="1">
      <alignment horizontal="right" vertical="center" wrapText="1"/>
    </xf>
    <xf numFmtId="167" fontId="20" fillId="33" borderId="11" xfId="1" applyNumberFormat="1" applyFont="1" applyFill="1" applyBorder="1" applyAlignment="1" applyProtection="1">
      <alignment horizontal="center" vertical="center" wrapText="1"/>
    </xf>
    <xf numFmtId="167" fontId="20" fillId="33" borderId="16" xfId="1" applyNumberFormat="1" applyFont="1" applyFill="1" applyBorder="1" applyAlignment="1" applyProtection="1">
      <alignment horizontal="center" vertical="center" wrapText="1"/>
    </xf>
    <xf numFmtId="165" fontId="20" fillId="33" borderId="11" xfId="1" applyNumberFormat="1" applyFont="1" applyFill="1" applyBorder="1" applyAlignment="1" applyProtection="1">
      <alignment horizontal="center" vertical="center" wrapText="1"/>
    </xf>
    <xf numFmtId="165" fontId="20" fillId="33" borderId="16" xfId="1" applyNumberFormat="1" applyFont="1" applyFill="1" applyBorder="1" applyAlignment="1" applyProtection="1">
      <alignment horizontal="center" vertical="center" wrapText="1"/>
    </xf>
    <xf numFmtId="0" fontId="40" fillId="37" borderId="10" xfId="0" applyFont="1" applyFill="1" applyBorder="1" applyAlignment="1">
      <alignment horizontal="center" wrapText="1"/>
    </xf>
    <xf numFmtId="0" fontId="40" fillId="37" borderId="11" xfId="0" applyFont="1" applyFill="1" applyBorder="1" applyAlignment="1">
      <alignment horizontal="center" wrapText="1"/>
    </xf>
    <xf numFmtId="0" fontId="40" fillId="37" borderId="12" xfId="0" applyFont="1" applyFill="1" applyBorder="1" applyAlignment="1">
      <alignment horizontal="center" wrapText="1"/>
    </xf>
    <xf numFmtId="0" fontId="41" fillId="38" borderId="10" xfId="0" applyFont="1" applyFill="1" applyBorder="1" applyAlignment="1">
      <alignment horizontal="center" vertical="center"/>
    </xf>
    <xf numFmtId="0" fontId="41" fillId="38" borderId="11" xfId="0" applyFont="1" applyFill="1" applyBorder="1" applyAlignment="1">
      <alignment horizontal="center" vertical="center"/>
    </xf>
    <xf numFmtId="0" fontId="41" fillId="38" borderId="12" xfId="0" applyFont="1" applyFill="1" applyBorder="1" applyAlignment="1">
      <alignment horizontal="center" vertical="center"/>
    </xf>
    <xf numFmtId="0" fontId="43" fillId="39" borderId="0" xfId="0" applyFont="1" applyFill="1" applyBorder="1" applyAlignment="1">
      <alignment horizontal="center" vertical="center" wrapText="1"/>
    </xf>
    <xf numFmtId="0" fontId="43" fillId="39" borderId="16" xfId="0" applyFont="1" applyFill="1" applyBorder="1" applyAlignment="1">
      <alignment horizontal="center" vertical="center" wrapText="1"/>
    </xf>
    <xf numFmtId="0" fontId="43" fillId="39" borderId="0" xfId="0" applyFont="1" applyFill="1" applyBorder="1" applyAlignment="1">
      <alignment horizontal="center" wrapText="1"/>
    </xf>
    <xf numFmtId="0" fontId="43" fillId="39" borderId="16" xfId="0" applyFont="1" applyFill="1" applyBorder="1" applyAlignment="1">
      <alignment horizontal="center" wrapText="1"/>
    </xf>
    <xf numFmtId="0" fontId="42" fillId="38" borderId="18" xfId="0" applyFont="1" applyFill="1" applyBorder="1" applyAlignment="1">
      <alignment horizontal="center" vertical="center" wrapText="1"/>
    </xf>
    <xf numFmtId="0" fontId="42" fillId="38" borderId="20" xfId="0" applyFont="1" applyFill="1" applyBorder="1" applyAlignment="1">
      <alignment horizontal="center" vertical="center" wrapText="1"/>
    </xf>
    <xf numFmtId="0" fontId="42" fillId="39" borderId="18" xfId="0" applyFont="1" applyFill="1" applyBorder="1" applyAlignment="1">
      <alignment horizontal="center" vertical="center" wrapText="1"/>
    </xf>
    <xf numFmtId="0" fontId="42" fillId="39" borderId="20" xfId="0" applyFont="1" applyFill="1" applyBorder="1" applyAlignment="1">
      <alignment horizontal="center" vertical="center" wrapText="1"/>
    </xf>
    <xf numFmtId="0" fontId="43" fillId="39" borderId="10" xfId="0" applyFont="1" applyFill="1" applyBorder="1" applyAlignment="1">
      <alignment horizontal="center" vertical="center" wrapText="1"/>
    </xf>
    <xf numFmtId="0" fontId="43" fillId="39" borderId="23" xfId="0" applyFont="1" applyFill="1" applyBorder="1" applyAlignment="1">
      <alignment horizontal="center" vertical="center" wrapText="1"/>
    </xf>
    <xf numFmtId="0" fontId="43" fillId="39" borderId="11" xfId="0" applyFont="1" applyFill="1" applyBorder="1" applyAlignment="1">
      <alignment horizontal="center" vertical="center" wrapText="1"/>
    </xf>
    <xf numFmtId="0" fontId="43" fillId="39" borderId="22" xfId="0" applyFont="1" applyFill="1" applyBorder="1" applyAlignment="1">
      <alignment horizontal="center" vertical="center" wrapText="1"/>
    </xf>
    <xf numFmtId="0" fontId="42" fillId="42" borderId="11" xfId="0" applyFont="1" applyFill="1" applyBorder="1" applyAlignment="1">
      <alignment horizontal="center" vertical="center" wrapText="1"/>
    </xf>
    <xf numFmtId="0" fontId="42" fillId="42" borderId="0" xfId="0" applyFont="1" applyFill="1" applyBorder="1" applyAlignment="1">
      <alignment horizontal="center" vertical="center" wrapText="1"/>
    </xf>
  </cellXfs>
  <cellStyles count="52">
    <cellStyle name="20 % - Dekorfärg1" xfId="17" builtinId="30" customBuiltin="1"/>
    <cellStyle name="20 % - Dekorfärg2" xfId="20" builtinId="34" customBuiltin="1"/>
    <cellStyle name="20 % - Dekorfärg3" xfId="23" builtinId="38" customBuiltin="1"/>
    <cellStyle name="20 % - Dekorfärg4" xfId="26" builtinId="42" customBuiltin="1"/>
    <cellStyle name="20 % - Dekorfärg5" xfId="29" builtinId="46" customBuiltin="1"/>
    <cellStyle name="20 % - Dekorfärg6" xfId="32" builtinId="50" customBuiltin="1"/>
    <cellStyle name="40 % - Dekorfärg1" xfId="18" builtinId="31" customBuiltin="1"/>
    <cellStyle name="40 % - Dekorfärg2" xfId="21" builtinId="35" customBuiltin="1"/>
    <cellStyle name="40 % - Dekorfärg3" xfId="24" builtinId="39" customBuiltin="1"/>
    <cellStyle name="40 % - Dekorfärg4" xfId="27" builtinId="43" customBuiltin="1"/>
    <cellStyle name="40 % - Dekorfärg5" xfId="30" builtinId="47" customBuiltin="1"/>
    <cellStyle name="40 % - Dekorfärg6" xfId="33" builtinId="51" customBuiltin="1"/>
    <cellStyle name="60 % - Dekorfärg1 2" xfId="44" xr:uid="{00000000-0005-0000-0000-00000C000000}"/>
    <cellStyle name="60 % - Dekorfärg2 2" xfId="45" xr:uid="{00000000-0005-0000-0000-00000D000000}"/>
    <cellStyle name="60 % - Dekorfärg3 2" xfId="46" xr:uid="{00000000-0005-0000-0000-00000E000000}"/>
    <cellStyle name="60 % - Dekorfärg4 2" xfId="47" xr:uid="{00000000-0005-0000-0000-00000F000000}"/>
    <cellStyle name="60 % - Dekorfärg5 2" xfId="48" xr:uid="{00000000-0005-0000-0000-000010000000}"/>
    <cellStyle name="60 % - Dekorfärg6 2" xfId="49" xr:uid="{00000000-0005-0000-0000-000011000000}"/>
    <cellStyle name="Anteckning 2" xfId="40" xr:uid="{00000000-0005-0000-0000-000012000000}"/>
    <cellStyle name="Beräkning" xfId="10" builtinId="22" customBuiltin="1"/>
    <cellStyle name="Bra" xfId="6" builtinId="26" customBuiltin="1"/>
    <cellStyle name="Dekorfärg1" xfId="16" builtinId="29" customBuiltin="1"/>
    <cellStyle name="Dekorfärg2" xfId="19" builtinId="33" customBuiltin="1"/>
    <cellStyle name="Dekorfärg3" xfId="22" builtinId="37" customBuiltin="1"/>
    <cellStyle name="Dekorfärg4" xfId="25" builtinId="41" customBuiltin="1"/>
    <cellStyle name="Dekorfärg5" xfId="28" builtinId="45" customBuiltin="1"/>
    <cellStyle name="Dekorfärg6" xfId="31" builtinId="49" customBuiltin="1"/>
    <cellStyle name="Dålig" xfId="7" builtinId="27" customBuiltin="1"/>
    <cellStyle name="Förklarande text" xfId="14" builtinId="53" customBuiltin="1"/>
    <cellStyle name="Hyperlänk" xfId="34" builtinId="8"/>
    <cellStyle name="Indata" xfId="8" builtinId="20" customBuiltin="1"/>
    <cellStyle name="Kontrollcell" xfId="12" builtinId="23" customBuiltin="1"/>
    <cellStyle name="Länkad cell" xfId="11" builtinId="24" customBuiltin="1"/>
    <cellStyle name="Neutral 2" xfId="43" xr:uid="{00000000-0005-0000-0000-000021000000}"/>
    <cellStyle name="Normal" xfId="0" builtinId="0"/>
    <cellStyle name="Normal 2" xfId="36" xr:uid="{00000000-0005-0000-0000-000023000000}"/>
    <cellStyle name="Normal 3" xfId="38" xr:uid="{00000000-0005-0000-0000-000024000000}"/>
    <cellStyle name="Normal 4" xfId="35" xr:uid="{00000000-0005-0000-0000-000025000000}"/>
    <cellStyle name="Procent" xfId="51" builtinId="5"/>
    <cellStyle name="Procent 2" xfId="39" xr:uid="{00000000-0005-0000-0000-000027000000}"/>
    <cellStyle name="Procent 3" xfId="37" xr:uid="{00000000-0005-0000-0000-000028000000}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5" xfId="42" xr:uid="{00000000-0005-0000-0000-00002D000000}"/>
    <cellStyle name="Summa" xfId="15" builtinId="25" customBuiltin="1"/>
    <cellStyle name="Tusental" xfId="1" builtinId="3"/>
    <cellStyle name="Tusental 2" xfId="41" xr:uid="{00000000-0005-0000-0000-000030000000}"/>
    <cellStyle name="Tusental 3" xfId="50" xr:uid="{00000000-0005-0000-0000-000031000000}"/>
    <cellStyle name="Utdata" xfId="9" builtinId="21" customBuiltin="1"/>
    <cellStyle name="Varningstext" xfId="13" builtinId="11" customBuiltin="1"/>
  </cellStyles>
  <dxfs count="68">
    <dxf>
      <font>
        <color rgb="FFFF0000"/>
      </font>
    </dxf>
    <dxf>
      <font>
        <b/>
        <strike val="0"/>
        <outline val="0"/>
        <shadow val="0"/>
        <u val="none"/>
        <vertAlign val="baseline"/>
        <sz val="12"/>
        <color theme="2" tint="-0.499984740745262"/>
        <name val="Calibri"/>
        <family val="2"/>
        <scheme val="minor"/>
      </font>
      <numFmt numFmtId="169" formatCode="#,##0.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2"/>
        <color theme="2" tint="-0.499984740745262"/>
        <name val="Calibri"/>
        <family val="2"/>
        <scheme val="minor"/>
      </font>
      <numFmt numFmtId="169" formatCode="#,##0.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Calibri"/>
        <family val="2"/>
        <scheme val="minor"/>
      </font>
      <numFmt numFmtId="169" formatCode="#,##0.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Calibri"/>
        <family val="2"/>
        <scheme val="minor"/>
      </font>
      <numFmt numFmtId="169" formatCode="#,##0.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Calibri"/>
        <family val="2"/>
        <scheme val="minor"/>
      </font>
      <numFmt numFmtId="169" formatCode="#,##0.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Calibri"/>
        <family val="2"/>
        <scheme val="minor"/>
      </font>
      <numFmt numFmtId="169" formatCode="#,##0.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Calibri"/>
        <family val="2"/>
        <scheme val="minor"/>
      </font>
      <numFmt numFmtId="169" formatCode="#,##0.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Calibri"/>
        <family val="2"/>
        <scheme val="minor"/>
      </font>
      <numFmt numFmtId="169" formatCode="#,##0.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9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Calibri"/>
        <family val="2"/>
        <scheme val="minor"/>
      </font>
      <numFmt numFmtId="169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Calibri"/>
        <family val="2"/>
        <scheme val="minor"/>
      </font>
      <numFmt numFmtId="169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Calibri"/>
        <family val="2"/>
        <scheme val="minor"/>
      </font>
      <numFmt numFmtId="169" formatCode="#,##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Calibri"/>
        <family val="2"/>
        <scheme val="minor"/>
      </font>
      <numFmt numFmtId="169" formatCode="#,##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>
        <left style="hair">
          <color indexed="64"/>
        </left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numFmt numFmtId="169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Calibri"/>
        <family val="2"/>
        <scheme val="minor"/>
      </font>
      <numFmt numFmtId="169" formatCode="#,##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>
        <right style="hair">
          <color indexed="64"/>
        </right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Calibri"/>
        <family val="2"/>
        <scheme val="minor"/>
      </font>
      <numFmt numFmtId="169" formatCode="#,##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Calibri"/>
        <family val="2"/>
        <scheme val="minor"/>
      </font>
      <numFmt numFmtId="169" formatCode="#,##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theme="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3" tint="0.39997558519241921"/>
        <name val="Arial"/>
        <family val="2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1" hidden="0"/>
    </dxf>
    <dxf>
      <border outline="0">
        <left style="medium">
          <color rgb="FF000000"/>
        </left>
        <right style="medium">
          <color rgb="FF000000"/>
        </right>
        <bottom style="medium">
          <color rgb="FF000000"/>
        </bottom>
      </border>
    </dxf>
    <dxf>
      <fill>
        <patternFill patternType="none">
          <fgColor rgb="FF000000"/>
          <bgColor auto="1"/>
        </patternFill>
      </fill>
      <alignment textRotation="0" wrapText="1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7" tint="0.59999389629810485"/>
        <name val="Calibri"/>
        <family val="2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b/>
        <strike val="0"/>
        <outline val="0"/>
        <shadow val="0"/>
        <u val="none"/>
        <vertAlign val="baseline"/>
        <sz val="12"/>
        <color theme="4" tint="-0.499984740745262"/>
        <name val="Calibri"/>
        <family val="2"/>
        <scheme val="minor"/>
      </font>
      <numFmt numFmtId="169" formatCode="#,##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Calibri"/>
        <family val="2"/>
        <scheme val="minor"/>
      </font>
      <numFmt numFmtId="169" formatCode="#,##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theme="0"/>
        </top>
        <bottom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3" tint="0.39997558519241921"/>
        <name val="Arial"/>
        <family val="2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dotted">
          <color indexed="64"/>
        </right>
        <top/>
        <bottom/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9" tint="0.59999389629810485"/>
        <name val="Calibri"/>
        <family val="2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b val="0"/>
        <i/>
        <color theme="0" tint="-4.9989318521683403E-2"/>
      </font>
    </dxf>
    <dxf>
      <font>
        <color rgb="FFFF0000"/>
      </font>
    </dxf>
    <dxf>
      <font>
        <b val="0"/>
        <i/>
        <color theme="0" tint="-4.9989318521683403E-2"/>
      </font>
    </dxf>
    <dxf>
      <font>
        <color rgb="FFFF0000"/>
      </font>
    </dxf>
    <dxf>
      <font>
        <b val="0"/>
        <i/>
        <color theme="0" tint="-4.9989318521683403E-2"/>
      </font>
    </dxf>
    <dxf>
      <font>
        <color rgb="FFFF0000"/>
      </font>
    </dxf>
    <dxf>
      <font>
        <b val="0"/>
        <i/>
        <color theme="0" tint="-4.9989318521683403E-2"/>
      </font>
    </dxf>
    <dxf>
      <font>
        <color rgb="FFFF0000"/>
      </font>
    </dxf>
    <dxf>
      <font>
        <b val="0"/>
        <i/>
        <color theme="0" tint="-4.9989318521683403E-2"/>
      </font>
    </dxf>
    <dxf>
      <font>
        <color rgb="FFFF0000"/>
      </font>
    </dxf>
    <dxf>
      <font>
        <b val="0"/>
        <i/>
        <color theme="0" tint="-4.9989318521683403E-2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Data!$D$7</c:f>
              <c:strCache>
                <c:ptCount val="1"/>
                <c:pt idx="0">
                  <c:v>Paket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Data!$E$6:$BB$6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Data!$E$7:$BB$7</c:f>
              <c:numCache>
                <c:formatCode>#\ ##0.0_ ;[Red]\-#\ ##0.0\ </c:formatCode>
                <c:ptCount val="50"/>
                <c:pt idx="0">
                  <c:v>-2195.0533980582522</c:v>
                </c:pt>
                <c:pt idx="1">
                  <c:v>-2036.4644641342261</c:v>
                </c:pt>
                <c:pt idx="2">
                  <c:v>-1882.494625373035</c:v>
                </c:pt>
                <c:pt idx="3">
                  <c:v>-1733.0093450223644</c:v>
                </c:pt>
                <c:pt idx="4">
                  <c:v>-1587.8780048760823</c:v>
                </c:pt>
                <c:pt idx="5">
                  <c:v>-1446.9737911418272</c:v>
                </c:pt>
                <c:pt idx="6">
                  <c:v>-1310.1735836328417</c:v>
                </c:pt>
                <c:pt idx="7">
                  <c:v>-1177.3578481872257</c:v>
                </c:pt>
                <c:pt idx="8">
                  <c:v>-1048.4105322206071</c:v>
                </c:pt>
                <c:pt idx="9">
                  <c:v>-923.21896332097799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9-4A94-A1C3-DE2BE605D9D1}"/>
            </c:ext>
          </c:extLst>
        </c:ser>
        <c:ser>
          <c:idx val="1"/>
          <c:order val="1"/>
          <c:tx>
            <c:strRef>
              <c:f>Data!$D$8</c:f>
              <c:strCache>
                <c:ptCount val="1"/>
                <c:pt idx="0">
                  <c:v>Paket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Data!$E$6:$BB$6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Data!$E$8:$BB$8</c:f>
              <c:numCache>
                <c:formatCode>#\ ##0.0_ ;[Red]\-#\ ##0.0\ </c:formatCode>
                <c:ptCount val="50"/>
                <c:pt idx="0">
                  <c:v>-4.9129805825241419</c:v>
                </c:pt>
                <c:pt idx="1">
                  <c:v>154.08315477424804</c:v>
                </c:pt>
                <c:pt idx="2">
                  <c:v>308.44833473227987</c:v>
                </c:pt>
                <c:pt idx="3">
                  <c:v>458.31744148764983</c:v>
                </c:pt>
                <c:pt idx="4">
                  <c:v>603.82142862878595</c:v>
                </c:pt>
                <c:pt idx="5">
                  <c:v>745.08743556192837</c:v>
                </c:pt>
                <c:pt idx="6">
                  <c:v>882.23889860381416</c:v>
                </c:pt>
                <c:pt idx="7">
                  <c:v>1015.395658838654</c:v>
                </c:pt>
                <c:pt idx="8">
                  <c:v>1144.6740668336447</c:v>
                </c:pt>
                <c:pt idx="9">
                  <c:v>1270.1870843045094</c:v>
                </c:pt>
                <c:pt idx="10">
                  <c:v>1392.0443828199118</c:v>
                </c:pt>
                <c:pt idx="11">
                  <c:v>1510.3524396309822</c:v>
                </c:pt>
                <c:pt idx="12">
                  <c:v>1625.2146307096914</c:v>
                </c:pt>
                <c:pt idx="13">
                  <c:v>1736.7313210773705</c:v>
                </c:pt>
                <c:pt idx="14">
                  <c:v>1844.9999525023013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49-4A94-A1C3-DE2BE605D9D1}"/>
            </c:ext>
          </c:extLst>
        </c:ser>
        <c:ser>
          <c:idx val="2"/>
          <c:order val="2"/>
          <c:tx>
            <c:strRef>
              <c:f>Data!$D$9</c:f>
              <c:strCache>
                <c:ptCount val="1"/>
                <c:pt idx="0">
                  <c:v>Paket 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Data!$E$6:$BB$6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Data!$E$9:$BB$9</c:f>
              <c:numCache>
                <c:formatCode>#\ ##0.0_ ;[Red]\-#\ ##0.0\ </c:formatCode>
                <c:ptCount val="50"/>
                <c:pt idx="0">
                  <c:v>-7.9506699029124093</c:v>
                </c:pt>
                <c:pt idx="1">
                  <c:v>249.35256320105526</c:v>
                </c:pt>
                <c:pt idx="2">
                  <c:v>499.16152737966553</c:v>
                </c:pt>
                <c:pt idx="3">
                  <c:v>741.69450231035398</c:v>
                </c:pt>
                <c:pt idx="4">
                  <c:v>977.16341001005185</c:v>
                </c:pt>
                <c:pt idx="5">
                  <c:v>1205.7740000097594</c:v>
                </c:pt>
                <c:pt idx="6">
                  <c:v>1427.7260291356888</c:v>
                </c:pt>
                <c:pt idx="7">
                  <c:v>1643.2134360540663</c:v>
                </c:pt>
                <c:pt idx="8">
                  <c:v>1852.424510732103</c:v>
                </c:pt>
                <c:pt idx="9">
                  <c:v>2055.5420589632072</c:v>
                </c:pt>
                <c:pt idx="10">
                  <c:v>2252.743562100201</c:v>
                </c:pt>
                <c:pt idx="11">
                  <c:v>2444.201332136116</c:v>
                </c:pt>
                <c:pt idx="12">
                  <c:v>2630.0826622680738</c:v>
                </c:pt>
                <c:pt idx="13">
                  <c:v>2810.5499730758002</c:v>
                </c:pt>
                <c:pt idx="14">
                  <c:v>2985.760954442525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49-4A94-A1C3-DE2BE605D9D1}"/>
            </c:ext>
          </c:extLst>
        </c:ser>
        <c:ser>
          <c:idx val="3"/>
          <c:order val="3"/>
          <c:tx>
            <c:strRef>
              <c:f>Data!$D$10</c:f>
              <c:strCache>
                <c:ptCount val="1"/>
                <c:pt idx="0">
                  <c:v>Paket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Data!$E$6:$BB$6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Data!$E$10:$BB$10</c:f>
              <c:numCache>
                <c:formatCode>#\ ##0.0_ ;[Red]\-#\ ##0.0\ </c:formatCode>
                <c:ptCount val="50"/>
                <c:pt idx="0">
                  <c:v>786.00716504854449</c:v>
                </c:pt>
                <c:pt idx="1">
                  <c:v>1628.6879078141189</c:v>
                </c:pt>
                <c:pt idx="2">
                  <c:v>2446.8245512758444</c:v>
                </c:pt>
                <c:pt idx="3">
                  <c:v>3241.1319721124682</c:v>
                </c:pt>
                <c:pt idx="4">
                  <c:v>4012.3042253519093</c:v>
                </c:pt>
                <c:pt idx="5">
                  <c:v>4761.0151508270983</c:v>
                </c:pt>
                <c:pt idx="6">
                  <c:v>5487.9189619680574</c:v>
                </c:pt>
                <c:pt idx="7">
                  <c:v>6193.6508174447135</c:v>
                </c:pt>
                <c:pt idx="8">
                  <c:v>6878.8273761599175</c:v>
                </c:pt>
                <c:pt idx="9">
                  <c:v>7544.0473360775895</c:v>
                </c:pt>
                <c:pt idx="10">
                  <c:v>8189.8919573568819</c:v>
                </c:pt>
                <c:pt idx="11">
                  <c:v>8816.9255702493974</c:v>
                </c:pt>
                <c:pt idx="12">
                  <c:v>9425.6960682032986</c:v>
                </c:pt>
                <c:pt idx="13">
                  <c:v>10016.735386605147</c:v>
                </c:pt>
                <c:pt idx="14">
                  <c:v>10590.559967577812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49-4A94-A1C3-DE2BE605D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259144"/>
        <c:axId val="521261768"/>
      </c:barChart>
      <c:catAx>
        <c:axId val="52125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261768"/>
        <c:crosses val="autoZero"/>
        <c:auto val="1"/>
        <c:lblAlgn val="ctr"/>
        <c:lblOffset val="100"/>
        <c:noMultiLvlLbl val="0"/>
      </c:catAx>
      <c:valAx>
        <c:axId val="52126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_ ;[Red]\-#\ 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259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LCC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Data!$D$7</c:f>
              <c:strCache>
                <c:ptCount val="1"/>
                <c:pt idx="0">
                  <c:v>Paket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Data!$E$6:$BB$6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Data!$E$7:$BB$7</c:f>
              <c:numCache>
                <c:formatCode>#\ ##0.0_ ;[Red]\-#\ ##0.0\ </c:formatCode>
                <c:ptCount val="50"/>
                <c:pt idx="0">
                  <c:v>-2195.0533980582522</c:v>
                </c:pt>
                <c:pt idx="1">
                  <c:v>-2036.4644641342261</c:v>
                </c:pt>
                <c:pt idx="2">
                  <c:v>-1882.494625373035</c:v>
                </c:pt>
                <c:pt idx="3">
                  <c:v>-1733.0093450223644</c:v>
                </c:pt>
                <c:pt idx="4">
                  <c:v>-1587.8780048760823</c:v>
                </c:pt>
                <c:pt idx="5">
                  <c:v>-1446.9737911418272</c:v>
                </c:pt>
                <c:pt idx="6">
                  <c:v>-1310.1735836328417</c:v>
                </c:pt>
                <c:pt idx="7">
                  <c:v>-1177.3578481872257</c:v>
                </c:pt>
                <c:pt idx="8">
                  <c:v>-1048.4105322206071</c:v>
                </c:pt>
                <c:pt idx="9">
                  <c:v>-923.21896332097799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8-423B-BDCF-4D81F5C130F4}"/>
            </c:ext>
          </c:extLst>
        </c:ser>
        <c:ser>
          <c:idx val="1"/>
          <c:order val="1"/>
          <c:tx>
            <c:strRef>
              <c:f>Data!$D$8</c:f>
              <c:strCache>
                <c:ptCount val="1"/>
                <c:pt idx="0">
                  <c:v>Paket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Data!$E$6:$BB$6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Data!$E$8:$BB$8</c:f>
              <c:numCache>
                <c:formatCode>#\ ##0.0_ ;[Red]\-#\ ##0.0\ </c:formatCode>
                <c:ptCount val="50"/>
                <c:pt idx="0">
                  <c:v>-4.9129805825241419</c:v>
                </c:pt>
                <c:pt idx="1">
                  <c:v>154.08315477424804</c:v>
                </c:pt>
                <c:pt idx="2">
                  <c:v>308.44833473227987</c:v>
                </c:pt>
                <c:pt idx="3">
                  <c:v>458.31744148764983</c:v>
                </c:pt>
                <c:pt idx="4">
                  <c:v>603.82142862878595</c:v>
                </c:pt>
                <c:pt idx="5">
                  <c:v>745.08743556192837</c:v>
                </c:pt>
                <c:pt idx="6">
                  <c:v>882.23889860381416</c:v>
                </c:pt>
                <c:pt idx="7">
                  <c:v>1015.395658838654</c:v>
                </c:pt>
                <c:pt idx="8">
                  <c:v>1144.6740668336447</c:v>
                </c:pt>
                <c:pt idx="9">
                  <c:v>1270.1870843045094</c:v>
                </c:pt>
                <c:pt idx="10">
                  <c:v>1392.0443828199118</c:v>
                </c:pt>
                <c:pt idx="11">
                  <c:v>1510.3524396309822</c:v>
                </c:pt>
                <c:pt idx="12">
                  <c:v>1625.2146307096914</c:v>
                </c:pt>
                <c:pt idx="13">
                  <c:v>1736.7313210773705</c:v>
                </c:pt>
                <c:pt idx="14">
                  <c:v>1844.9999525023013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8-423B-BDCF-4D81F5C130F4}"/>
            </c:ext>
          </c:extLst>
        </c:ser>
        <c:ser>
          <c:idx val="2"/>
          <c:order val="2"/>
          <c:tx>
            <c:strRef>
              <c:f>Data!$D$9</c:f>
              <c:strCache>
                <c:ptCount val="1"/>
                <c:pt idx="0">
                  <c:v>Paket 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Data!$E$6:$BB$6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Data!$E$9:$BB$9</c:f>
              <c:numCache>
                <c:formatCode>#\ ##0.0_ ;[Red]\-#\ ##0.0\ </c:formatCode>
                <c:ptCount val="50"/>
                <c:pt idx="0">
                  <c:v>-7.9506699029124093</c:v>
                </c:pt>
                <c:pt idx="1">
                  <c:v>249.35256320105526</c:v>
                </c:pt>
                <c:pt idx="2">
                  <c:v>499.16152737966553</c:v>
                </c:pt>
                <c:pt idx="3">
                  <c:v>741.69450231035398</c:v>
                </c:pt>
                <c:pt idx="4">
                  <c:v>977.16341001005185</c:v>
                </c:pt>
                <c:pt idx="5">
                  <c:v>1205.7740000097594</c:v>
                </c:pt>
                <c:pt idx="6">
                  <c:v>1427.7260291356888</c:v>
                </c:pt>
                <c:pt idx="7">
                  <c:v>1643.2134360540663</c:v>
                </c:pt>
                <c:pt idx="8">
                  <c:v>1852.424510732103</c:v>
                </c:pt>
                <c:pt idx="9">
                  <c:v>2055.5420589632072</c:v>
                </c:pt>
                <c:pt idx="10">
                  <c:v>2252.743562100201</c:v>
                </c:pt>
                <c:pt idx="11">
                  <c:v>2444.201332136116</c:v>
                </c:pt>
                <c:pt idx="12">
                  <c:v>2630.0826622680738</c:v>
                </c:pt>
                <c:pt idx="13">
                  <c:v>2810.5499730758002</c:v>
                </c:pt>
                <c:pt idx="14">
                  <c:v>2985.760954442525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D8-423B-BDCF-4D81F5C130F4}"/>
            </c:ext>
          </c:extLst>
        </c:ser>
        <c:ser>
          <c:idx val="3"/>
          <c:order val="3"/>
          <c:tx>
            <c:strRef>
              <c:f>Data!$D$10</c:f>
              <c:strCache>
                <c:ptCount val="1"/>
                <c:pt idx="0">
                  <c:v>Paket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Data!$E$6:$BB$6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Data!$E$10:$BB$10</c:f>
              <c:numCache>
                <c:formatCode>#\ ##0.0_ ;[Red]\-#\ ##0.0\ </c:formatCode>
                <c:ptCount val="50"/>
                <c:pt idx="0">
                  <c:v>786.00716504854449</c:v>
                </c:pt>
                <c:pt idx="1">
                  <c:v>1628.6879078141189</c:v>
                </c:pt>
                <c:pt idx="2">
                  <c:v>2446.8245512758444</c:v>
                </c:pt>
                <c:pt idx="3">
                  <c:v>3241.1319721124682</c:v>
                </c:pt>
                <c:pt idx="4">
                  <c:v>4012.3042253519093</c:v>
                </c:pt>
                <c:pt idx="5">
                  <c:v>4761.0151508270983</c:v>
                </c:pt>
                <c:pt idx="6">
                  <c:v>5487.9189619680574</c:v>
                </c:pt>
                <c:pt idx="7">
                  <c:v>6193.6508174447135</c:v>
                </c:pt>
                <c:pt idx="8">
                  <c:v>6878.8273761599175</c:v>
                </c:pt>
                <c:pt idx="9">
                  <c:v>7544.0473360775895</c:v>
                </c:pt>
                <c:pt idx="10">
                  <c:v>8189.8919573568819</c:v>
                </c:pt>
                <c:pt idx="11">
                  <c:v>8816.9255702493974</c:v>
                </c:pt>
                <c:pt idx="12">
                  <c:v>9425.6960682032986</c:v>
                </c:pt>
                <c:pt idx="13">
                  <c:v>10016.735386605147</c:v>
                </c:pt>
                <c:pt idx="14">
                  <c:v>10590.559967577812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D8-423B-BDCF-4D81F5C13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259144"/>
        <c:axId val="521261768"/>
      </c:barChart>
      <c:catAx>
        <c:axId val="52125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261768"/>
        <c:crosses val="autoZero"/>
        <c:auto val="1"/>
        <c:lblAlgn val="ctr"/>
        <c:lblOffset val="100"/>
        <c:noMultiLvlLbl val="0"/>
      </c:catAx>
      <c:valAx>
        <c:axId val="52126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_ ;[Red]\-#\ 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259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806409179089773"/>
          <c:y val="0.25732138053380449"/>
          <c:w val="0.11666581598248836"/>
          <c:h val="0.378579768941624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0741473257112E-2"/>
          <c:y val="3.4453057708871665E-2"/>
          <c:w val="0.9262970012399403"/>
          <c:h val="0.87115958050463327"/>
        </c:manualLayout>
      </c:layout>
      <c:barChart>
        <c:barDir val="col"/>
        <c:grouping val="clustered"/>
        <c:varyColors val="0"/>
        <c:ser>
          <c:idx val="4"/>
          <c:order val="0"/>
          <c:tx>
            <c:v>EnergiKostnad utan investering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Data!$E$17:$BB$17</c:f>
              <c:numCache>
                <c:formatCode>#\ ##0.0_ ;[Red]\-#\ ##0.0\ </c:formatCode>
                <c:ptCount val="50"/>
                <c:pt idx="0">
                  <c:v>700</c:v>
                </c:pt>
                <c:pt idx="1">
                  <c:v>714</c:v>
                </c:pt>
                <c:pt idx="2">
                  <c:v>728.28</c:v>
                </c:pt>
                <c:pt idx="3">
                  <c:v>742.84559999999999</c:v>
                </c:pt>
                <c:pt idx="4">
                  <c:v>757.70251199999996</c:v>
                </c:pt>
                <c:pt idx="5">
                  <c:v>772.85656224000002</c:v>
                </c:pt>
                <c:pt idx="6">
                  <c:v>788.31369348480007</c:v>
                </c:pt>
                <c:pt idx="7">
                  <c:v>804.07996735449603</c:v>
                </c:pt>
                <c:pt idx="8">
                  <c:v>820.16156670158603</c:v>
                </c:pt>
                <c:pt idx="9">
                  <c:v>836.56479803561774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7-4EAF-9949-570826F472B4}"/>
            </c:ext>
          </c:extLst>
        </c:ser>
        <c:ser>
          <c:idx val="3"/>
          <c:order val="1"/>
          <c:tx>
            <c:v>Kostnad med investering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Data!$E$15:$BB$15</c:f>
              <c:numCache>
                <c:formatCode>0</c:formatCode>
                <c:ptCount val="50"/>
                <c:pt idx="0">
                  <c:v>806.89966666666669</c:v>
                </c:pt>
                <c:pt idx="1">
                  <c:v>809.67339333333348</c:v>
                </c:pt>
                <c:pt idx="2">
                  <c:v>812.65982120000012</c:v>
                </c:pt>
                <c:pt idx="3">
                  <c:v>815.86320429066689</c:v>
                </c:pt>
                <c:pt idx="4">
                  <c:v>819.28788170981352</c:v>
                </c:pt>
                <c:pt idx="5">
                  <c:v>822.93827934400986</c:v>
                </c:pt>
                <c:pt idx="6">
                  <c:v>826.81891159755673</c:v>
                </c:pt>
                <c:pt idx="7">
                  <c:v>830.93438316284119</c:v>
                </c:pt>
                <c:pt idx="8">
                  <c:v>835.28939082609804</c:v>
                </c:pt>
                <c:pt idx="9">
                  <c:v>839.88872530928666</c:v>
                </c:pt>
                <c:pt idx="10">
                  <c:v>687.51060648213911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B7-4EAF-9949-570826F47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284032"/>
        <c:axId val="524279440"/>
      </c:barChart>
      <c:catAx>
        <c:axId val="524284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279440"/>
        <c:crosses val="autoZero"/>
        <c:auto val="1"/>
        <c:lblAlgn val="ctr"/>
        <c:lblOffset val="100"/>
        <c:noMultiLvlLbl val="0"/>
      </c:catAx>
      <c:valAx>
        <c:axId val="52427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_ ;[Red]\-#\ 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2840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535782</xdr:colOff>
      <xdr:row>0</xdr:row>
      <xdr:rowOff>333375</xdr:rowOff>
    </xdr:from>
    <xdr:to>
      <xdr:col>22</xdr:col>
      <xdr:colOff>519907</xdr:colOff>
      <xdr:row>3</xdr:row>
      <xdr:rowOff>9842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C27E310B-954B-45DC-9AA8-658BEF6F5439}"/>
            </a:ext>
          </a:extLst>
        </xdr:cNvPr>
        <xdr:cNvSpPr txBox="1">
          <a:spLocks noChangeArrowheads="1"/>
        </xdr:cNvSpPr>
      </xdr:nvSpPr>
      <xdr:spPr bwMode="auto">
        <a:xfrm>
          <a:off x="10834688" y="333375"/>
          <a:ext cx="2508250" cy="462280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ctr">
            <a:lnSpc>
              <a:spcPct val="107000"/>
            </a:lnSpc>
            <a:spcAft>
              <a:spcPts val="0"/>
            </a:spcAft>
          </a:pPr>
          <a:r>
            <a:rPr lang="en-US" sz="2400" b="1">
              <a:solidFill>
                <a:srgbClr val="92D050"/>
              </a:solidFill>
              <a:effectLst>
                <a:reflection blurRad="63500" stA="60000" endA="1000" endPos="28000" dist="12700" dir="5400000" sy="-100000" algn="bl"/>
              </a:effectLst>
              <a:latin typeface="Corbel" panose="020B0503020204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EFFECT</a:t>
          </a:r>
          <a:r>
            <a:rPr lang="en-US" sz="2400" b="1">
              <a:solidFill>
                <a:srgbClr val="008000"/>
              </a:solidFill>
              <a:effectLst>
                <a:reflection blurRad="63500" stA="60000" endA="1000" endPos="28000" dist="12700" dir="5400000" sy="-100000" algn="bl"/>
              </a:effectLst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4</a:t>
          </a:r>
          <a:r>
            <a:rPr lang="en-US" sz="2400" b="1">
              <a:solidFill>
                <a:srgbClr val="4F4F4F"/>
              </a:solidFill>
              <a:effectLst>
                <a:reflection blurRad="63500" stA="60000" endA="1000" endPos="28000" dist="12700" dir="5400000" sy="-100000" algn="bl"/>
              </a:effectLst>
              <a:latin typeface="Corbel" panose="020B0503020204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buildings</a:t>
          </a:r>
          <a:r>
            <a:rPr lang="en-US" sz="2400" b="1">
              <a:solidFill>
                <a:srgbClr val="4F4F4F"/>
              </a:solidFill>
              <a:effectLst>
                <a:outerShdw blurRad="50800" dir="12000000" sx="0" sy="0" algn="ctr">
                  <a:srgbClr val="000000">
                    <a:alpha val="43000"/>
                  </a:srgbClr>
                </a:outerShdw>
              </a:effectLst>
              <a:latin typeface="Corbel" panose="020B0503020204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br>
            <a:rPr lang="en-US" sz="2400" b="1">
              <a:solidFill>
                <a:srgbClr val="4F4F4F"/>
              </a:solidFill>
              <a:effectLst>
                <a:outerShdw blurRad="50800" dir="12000000" sx="0" sy="0" algn="ctr">
                  <a:srgbClr val="000000">
                    <a:alpha val="43000"/>
                  </a:srgbClr>
                </a:outerShdw>
              </a:effectLst>
              <a:latin typeface="Corbel" panose="020B050302020402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endParaRPr lang="sv-SE" sz="1100">
            <a:solidFill>
              <a:srgbClr val="4F4F4F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US" sz="1100" b="1">
              <a:solidFill>
                <a:srgbClr val="4F4F4F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sv-SE" sz="1100">
            <a:solidFill>
              <a:srgbClr val="4F4F4F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157539</xdr:colOff>
      <xdr:row>2</xdr:row>
      <xdr:rowOff>104776</xdr:rowOff>
    </xdr:from>
    <xdr:to>
      <xdr:col>35</xdr:col>
      <xdr:colOff>206828</xdr:colOff>
      <xdr:row>21</xdr:row>
      <xdr:rowOff>32658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53B11EE-4383-4EB4-A03A-FBF2B503A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299357</xdr:colOff>
      <xdr:row>2</xdr:row>
      <xdr:rowOff>40821</xdr:rowOff>
    </xdr:from>
    <xdr:to>
      <xdr:col>4</xdr:col>
      <xdr:colOff>18142</xdr:colOff>
      <xdr:row>4</xdr:row>
      <xdr:rowOff>108494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B1278B5-9CC6-4EAA-83F9-4E1A135EEA60}"/>
            </a:ext>
          </a:extLst>
        </xdr:cNvPr>
        <xdr:cNvSpPr txBox="1">
          <a:spLocks noChangeArrowheads="1"/>
        </xdr:cNvSpPr>
      </xdr:nvSpPr>
      <xdr:spPr bwMode="auto">
        <a:xfrm>
          <a:off x="517071" y="435428"/>
          <a:ext cx="2508250" cy="462280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ctr">
            <a:lnSpc>
              <a:spcPct val="107000"/>
            </a:lnSpc>
            <a:spcAft>
              <a:spcPts val="0"/>
            </a:spcAft>
          </a:pPr>
          <a:r>
            <a:rPr lang="en-US" sz="2400" b="1">
              <a:solidFill>
                <a:srgbClr val="92D050"/>
              </a:solidFill>
              <a:effectLst>
                <a:reflection blurRad="63500" stA="60000" endA="1000" endPos="28000" dist="12700" dir="5400000" sy="-100000" algn="bl"/>
              </a:effectLst>
              <a:latin typeface="Corbel" panose="020B0503020204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EFFECT</a:t>
          </a:r>
          <a:r>
            <a:rPr lang="en-US" sz="2400" b="1">
              <a:solidFill>
                <a:srgbClr val="008000"/>
              </a:solidFill>
              <a:effectLst>
                <a:reflection blurRad="63500" stA="60000" endA="1000" endPos="28000" dist="12700" dir="5400000" sy="-100000" algn="bl"/>
              </a:effectLst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4</a:t>
          </a:r>
          <a:r>
            <a:rPr lang="en-US" sz="2400" b="1">
              <a:solidFill>
                <a:srgbClr val="4F4F4F"/>
              </a:solidFill>
              <a:effectLst>
                <a:reflection blurRad="63500" stA="60000" endA="1000" endPos="28000" dist="12700" dir="5400000" sy="-100000" algn="bl"/>
              </a:effectLst>
              <a:latin typeface="Corbel" panose="020B0503020204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buildings</a:t>
          </a:r>
          <a:r>
            <a:rPr lang="en-US" sz="2400" b="1">
              <a:solidFill>
                <a:srgbClr val="4F4F4F"/>
              </a:solidFill>
              <a:effectLst>
                <a:outerShdw blurRad="50800" dir="12000000" sx="0" sy="0" algn="ctr">
                  <a:srgbClr val="000000">
                    <a:alpha val="43000"/>
                  </a:srgbClr>
                </a:outerShdw>
              </a:effectLst>
              <a:latin typeface="Corbel" panose="020B0503020204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br>
            <a:rPr lang="en-US" sz="2400" b="1">
              <a:solidFill>
                <a:srgbClr val="4F4F4F"/>
              </a:solidFill>
              <a:effectLst>
                <a:outerShdw blurRad="50800" dir="12000000" sx="0" sy="0" algn="ctr">
                  <a:srgbClr val="000000">
                    <a:alpha val="43000"/>
                  </a:srgbClr>
                </a:outerShdw>
              </a:effectLst>
              <a:latin typeface="Corbel" panose="020B050302020402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endParaRPr lang="sv-SE" sz="1100">
            <a:solidFill>
              <a:srgbClr val="4F4F4F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US" sz="1100" b="1">
              <a:solidFill>
                <a:srgbClr val="4F4F4F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sv-SE" sz="1100">
            <a:solidFill>
              <a:srgbClr val="4F4F4F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144780</xdr:colOff>
      <xdr:row>17</xdr:row>
      <xdr:rowOff>167640</xdr:rowOff>
    </xdr:from>
    <xdr:to>
      <xdr:col>27</xdr:col>
      <xdr:colOff>160020</xdr:colOff>
      <xdr:row>50</xdr:row>
      <xdr:rowOff>175260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AE7636F-70DE-4248-B1CA-C0AEEF249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0</xdr:rowOff>
    </xdr:from>
    <xdr:to>
      <xdr:col>14</xdr:col>
      <xdr:colOff>300990</xdr:colOff>
      <xdr:row>43</xdr:row>
      <xdr:rowOff>34290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B373892B-E5AB-48C7-BA07-B7AF8F838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Åtgärdslista3" displayName="Åtgärdslista3" ref="B12:W71" totalsRowShown="0" headerRowDxfId="54" dataDxfId="52" headerRowBorderDxfId="53" tableBorderDxfId="51">
  <autoFilter ref="B12:W71" xr:uid="{00000000-0009-0000-0100-000002000000}"/>
  <tableColumns count="22">
    <tableColumn id="3" xr3:uid="{00000000-0010-0000-0000-000003000000}" name="Kolumn3" dataDxfId="50"/>
    <tableColumn id="30" xr3:uid="{FF5DDDC1-CA23-4B80-A1EC-D3E16FBE4440}" name="Kolumn33" dataDxfId="49"/>
    <tableColumn id="29" xr3:uid="{624B55FF-1CF4-4B84-ACE0-23AEC7249025}" name="Kolumn4" dataDxfId="48"/>
    <tableColumn id="16" xr3:uid="{00000000-0010-0000-0000-000010000000}" name="Kolumn32" dataDxfId="47"/>
    <tableColumn id="9" xr3:uid="{00000000-0010-0000-0000-000009000000}" name="Kolumn42" dataDxfId="46"/>
    <tableColumn id="5" xr3:uid="{00000000-0010-0000-0000-000005000000}" name="Kolumn6" dataDxfId="45"/>
    <tableColumn id="8" xr3:uid="{00000000-0010-0000-0000-000008000000}" name="Kolumn8" dataDxfId="44"/>
    <tableColumn id="20" xr3:uid="{00000000-0010-0000-0000-000014000000}" name="Kolumn85" dataDxfId="43"/>
    <tableColumn id="23" xr3:uid="{00000000-0010-0000-0000-000017000000}" name="Kolumn852" dataDxfId="42"/>
    <tableColumn id="21" xr3:uid="{00000000-0010-0000-0000-000015000000}" name="Kolumn86" dataDxfId="41"/>
    <tableColumn id="22" xr3:uid="{00000000-0010-0000-0000-000016000000}" name="Kolumn87" dataDxfId="40"/>
    <tableColumn id="19" xr3:uid="{00000000-0010-0000-0000-000013000000}" name="Kolumn84" dataDxfId="39"/>
    <tableColumn id="18" xr3:uid="{00000000-0010-0000-0000-000012000000}" name="Kolumn83" dataDxfId="38"/>
    <tableColumn id="7" xr3:uid="{00000000-0010-0000-0000-000007000000}" name="Kolumn82" dataDxfId="37"/>
    <tableColumn id="24" xr3:uid="{00000000-0010-0000-0000-000018000000}" name="Kolumn122" dataDxfId="36"/>
    <tableColumn id="15" xr3:uid="{00000000-0010-0000-0000-00000F000000}" name="Kolumn9" dataDxfId="35"/>
    <tableColumn id="10" xr3:uid="{00000000-0010-0000-0000-00000A000000}" name="Kolumn10" dataDxfId="34"/>
    <tableColumn id="14" xr3:uid="{00000000-0010-0000-0000-00000E000000}" name="Kolumn102" dataDxfId="33"/>
    <tableColumn id="11" xr3:uid="{00000000-0010-0000-0000-00000B000000}" name="Kolumn11" dataDxfId="32">
      <calculatedColumnFormula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calculatedColumnFormula>
    </tableColumn>
    <tableColumn id="12" xr3:uid="{00000000-0010-0000-0000-00000C000000}" name="Kolumn5" dataDxfId="31">
      <calculatedColumnFormula>IF(AND(F13="Ja",S13&lt;&gt;0),S13,"-")</calculatedColumnFormula>
    </tableColumn>
    <tableColumn id="13" xr3:uid="{00000000-0010-0000-0000-00000D000000}" name="Kolumn13" dataDxfId="30">
      <calculatedColumnFormula>IFERROR(IF(Åtgärdslista3[[#This Row],[Kolumn5]]/Åtgärdslista3[[#This Row],[Kolumn11]]&lt;0,"-",Åtgärdslista3[[#This Row],[Kolumn5]]/Åtgärdslista3[[#This Row],[Kolumn11]]),"-")</calculatedColumnFormula>
    </tableColumn>
    <tableColumn id="1" xr3:uid="{00000000-0010-0000-0000-000001000000}" name="Kolumn14" dataDxfId="29">
      <calculatedColumnFormula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94B1A7-AFC6-46D3-B58E-30F993170E92}" name="Åtgärdslista32" displayName="Åtgärdslista32" ref="B16:W75" totalsRowShown="0" headerRowDxfId="26" dataDxfId="24" headerRowBorderDxfId="25" tableBorderDxfId="23">
  <autoFilter ref="B16:W75" xr:uid="{00000000-0009-0000-0100-000002000000}"/>
  <tableColumns count="22">
    <tableColumn id="3" xr3:uid="{976F6B59-8BB0-4B44-83B0-6535206727F7}" name="Kolumn3" dataDxfId="22"/>
    <tableColumn id="35" xr3:uid="{CE53F65E-6EE4-45DF-8641-62E0989CB588}" name="Kolumn34" dataDxfId="21">
      <calculatedColumnFormula>IF(VLOOKUP(Åtgärdslista32[[#This Row],[Kolumn3]],Åtgärdslista3[[Kolumn3]:[Kolumn5]],2,FALSE)="","",VLOOKUP(Åtgärdslista32[[#This Row],[Kolumn3]],Åtgärdslista3[[Kolumn3]:[Kolumn5]],2,FALSE))</calculatedColumnFormula>
    </tableColumn>
    <tableColumn id="34" xr3:uid="{F7F46EA7-7315-4B0B-8D7D-99F1FD645261}" name="Kolumn33" dataDxfId="20">
      <calculatedColumnFormula>IF(VLOOKUP(Åtgärdslista32[[#This Row],[Kolumn3]],Åtgärdslista3[[Kolumn3]:[Kolumn5]],3,FALSE)="","",VLOOKUP(Åtgärdslista32[[#This Row],[Kolumn3]],Åtgärdslista3[[Kolumn3]:[Kolumn5]],3,FALSE))</calculatedColumnFormula>
    </tableColumn>
    <tableColumn id="16" xr3:uid="{BE0622B2-69C8-403C-AA30-849A4854B1A6}" name="Kolumn32" dataDxfId="19">
      <calculatedColumnFormula>IF(VLOOKUP(Åtgärdslista32[[#This Row],[Kolumn3]],Åtgärdslista3[[Kolumn3]:[Kolumn5]],4,FALSE)="","",VLOOKUP(Åtgärdslista32[[#This Row],[Kolumn3]],Åtgärdslista3[[Kolumn3]:[Kolumn5]],4,FALSE))</calculatedColumnFormula>
    </tableColumn>
    <tableColumn id="9" xr3:uid="{5A33744D-19F2-4D85-AC8D-2B435D509F5C}" name="Kolumn42" dataDxfId="18"/>
    <tableColumn id="11" xr3:uid="{C43820C8-17B8-48A6-AD2E-B3270FEC3CE6}" name="Kolumn11" dataDxfId="17">
      <calculatedColumnFormula>IF(Åtgärdslista32[[#This Row],[Kolumn42]]="ja",VLOOKUP(Åtgärdslista32[[#This Row],[Kolumn3]],Åtgärdslista3[[Kolumn3]:[Kolumn5]],19,FALSE),"-")</calculatedColumnFormula>
    </tableColumn>
    <tableColumn id="12" xr3:uid="{5A3106B8-E401-4894-A6FD-743D2FA61A69}" name="Kolumn5" dataDxfId="16">
      <calculatedColumnFormula>IF(Åtgärdslista32[[#This Row],[Kolumn42]]="ja",VLOOKUP(Åtgärdslista32[[#This Row],[Kolumn3]],Åtgärdslista3[[Kolumn3]:[Kolumn5]],20,FALSE),"-")</calculatedColumnFormula>
    </tableColumn>
    <tableColumn id="33" xr3:uid="{ADF01A89-AE74-42C7-B8F2-21386D847D17}" name="Kolumn144" dataDxfId="15">
      <calculatedColumnFormula>IFERROR(Åtgärdslista32[[#This Row],[Kolumn5]]/Åtgärdslista32[[#This Row],[Kolumn11]],"-")</calculatedColumnFormula>
    </tableColumn>
    <tableColumn id="18" xr3:uid="{C1D532A7-36C2-48C0-BBAC-29D4652DA0FB}" name="Kolumn1442" dataDxfId="14">
      <calculatedColumnFormula>IF(Åtgärdslista32[[#This Row],[Kolumn33]]="","",IFERROR(VLOOKUP(Åtgärdslista32[[#This Row],[Kolumn33]],'Nuvärdesberäkning år'!$C$3:$D$23,2,FALSE),"Kategori saknas"))</calculatedColumnFormula>
    </tableColumn>
    <tableColumn id="17" xr3:uid="{DB23F83E-204E-4727-8FD3-B1A46A94C6FD}" name="Kolumn145" dataDxfId="13">
      <calculatedColumnFormula>IFERROR(-PV(($D$6-$D$7),J17,G17)-H17,"-")</calculatedColumnFormula>
    </tableColumn>
    <tableColumn id="32" xr3:uid="{77A4C056-6938-47A8-ABE8-C964BF3E2345}" name="Kolumn1" dataDxfId="12"/>
    <tableColumn id="14" xr3:uid="{31C68497-06FF-458E-B93E-83CF47D3D7E8}" name="Kolumn6" dataDxfId="11"/>
    <tableColumn id="8" xr3:uid="{3561B45B-1E0C-4884-A572-092A4E1ED936}" name="Kolumn22" dataDxfId="10"/>
    <tableColumn id="13" xr3:uid="{17149033-4485-42E7-801E-C139C8C1B62A}" name="Kolumn43" dataDxfId="9"/>
    <tableColumn id="5" xr3:uid="{F71CF970-6624-44D1-BC4E-B8A2CA5E063D}" name="Kolumn14" dataDxfId="8">
      <calculatedColumnFormula>IF(Åtgärdslista32[[#This Row],[Kolumn1]]&lt;&gt;"",Åtgärdslista32[[#This Row],[Kolumn11]],"-")</calculatedColumnFormula>
    </tableColumn>
    <tableColumn id="7" xr3:uid="{69A97FAD-5847-4D5B-B11B-14DA5BF3869F}" name="Kolumn15" dataDxfId="7">
      <calculatedColumnFormula>IF(Åtgärdslista32[[#This Row],[Kolumn1]]&lt;&gt;"",Åtgärdslista32[[#This Row],[Kolumn5]],"-")</calculatedColumnFormula>
    </tableColumn>
    <tableColumn id="2" xr3:uid="{91CE141C-AF87-4B5C-92AF-936B09675D23}" name="Kolumn12" dataDxfId="6">
      <calculatedColumnFormula>IF(Åtgärdslista32[[#This Row],[Kolumn6]]&lt;&gt;"",Åtgärdslista32[[#This Row],[Kolumn11]],"-")</calculatedColumnFormula>
    </tableColumn>
    <tableColumn id="1" xr3:uid="{EA9C7518-0C96-4CF4-A950-908A2FE0B7FA}" name="Kolumn2" dataDxfId="5">
      <calculatedColumnFormula>IF(Åtgärdslista32[[#This Row],[Kolumn22]]&lt;&gt;"",Åtgärdslista32[[#This Row],[Kolumn5]],"-")</calculatedColumnFormula>
    </tableColumn>
    <tableColumn id="10" xr3:uid="{ED1807D0-1A43-42C2-8362-CC9A22C39B97}" name="Kolumn23" dataDxfId="4">
      <calculatedColumnFormula>IF(Åtgärdslista32[[#This Row],[Kolumn22]]&lt;&gt;"",Åtgärdslista32[[#This Row],[Kolumn11]],"-")</calculatedColumnFormula>
    </tableColumn>
    <tableColumn id="31" xr3:uid="{DADFBA5B-FAAA-4405-B55A-E6A195AC16A9}" name="Kolumn4" dataDxfId="3">
      <calculatedColumnFormula>IF(Åtgärdslista32[[#This Row],[Kolumn22]]&lt;&gt;"",Åtgärdslista32[[#This Row],[Kolumn5]],"-")</calculatedColumnFormula>
    </tableColumn>
    <tableColumn id="6" xr3:uid="{A37C6D71-F553-4B39-BB09-7B3455F4E967}" name="Kolumn7" dataDxfId="2">
      <calculatedColumnFormula>IF(Åtgärdslista32[[#This Row],[Kolumn43]]&lt;&gt;"",Åtgärdslista32[[#This Row],[Kolumn11]],"-")</calculatedColumnFormula>
    </tableColumn>
    <tableColumn id="25" xr3:uid="{9A8812CB-AE8F-4A00-A622-DC35AEFEB296}" name="Kolumn17" dataDxfId="1" dataCellStyle="Procent">
      <calculatedColumnFormula>IF(Åtgärdslista32[[#This Row],[Kolumn43]]&lt;&gt;"",Åtgärdslista32[[#This Row],[Kolumn5]],"-")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W440"/>
  <sheetViews>
    <sheetView showGridLines="0" tabSelected="1" zoomScale="80" zoomScaleNormal="80" workbookViewId="0">
      <pane ySplit="12" topLeftCell="A13" activePane="bottomLeft" state="frozen"/>
      <selection pane="bottomLeft" activeCell="AB26" sqref="AB26"/>
    </sheetView>
  </sheetViews>
  <sheetFormatPr defaultRowHeight="14.4" x14ac:dyDescent="0.3"/>
  <cols>
    <col min="1" max="1" width="13" customWidth="1"/>
    <col min="2" max="2" width="8.5546875" style="2" customWidth="1"/>
    <col min="3" max="3" width="14.6640625" style="2" customWidth="1"/>
    <col min="4" max="4" width="15.33203125" style="2" customWidth="1"/>
    <col min="5" max="5" width="30.33203125" style="2" customWidth="1"/>
    <col min="6" max="6" width="12.33203125" style="3" customWidth="1"/>
    <col min="7" max="8" width="11.6640625" style="1" customWidth="1"/>
    <col min="9" max="9" width="11.6640625" style="1" hidden="1" customWidth="1"/>
    <col min="10" max="10" width="14.33203125" style="1" hidden="1" customWidth="1"/>
    <col min="11" max="16" width="11.6640625" style="1" hidden="1" customWidth="1"/>
    <col min="17" max="17" width="10.44140625" style="1" customWidth="1"/>
    <col min="18" max="18" width="13.44140625" style="1" customWidth="1"/>
    <col min="19" max="19" width="12.88671875" style="1" bestFit="1" customWidth="1"/>
    <col min="20" max="20" width="14.6640625" style="1" customWidth="1"/>
    <col min="21" max="21" width="11.33203125" style="1" customWidth="1"/>
    <col min="22" max="22" width="12" style="1" customWidth="1"/>
    <col min="23" max="23" width="17.33203125" customWidth="1"/>
  </cols>
  <sheetData>
    <row r="1" spans="1:23" ht="30" customHeight="1" x14ac:dyDescent="0.3">
      <c r="B1" s="169"/>
      <c r="C1" s="242" t="s">
        <v>118</v>
      </c>
      <c r="D1" s="242"/>
      <c r="E1" s="242"/>
      <c r="F1" s="242"/>
      <c r="G1" s="242"/>
      <c r="H1" s="242"/>
      <c r="I1" s="165"/>
      <c r="J1" s="166"/>
      <c r="K1" s="32"/>
      <c r="L1" s="32"/>
      <c r="M1" s="32"/>
      <c r="N1" s="32"/>
      <c r="O1" s="32"/>
      <c r="P1" s="32"/>
      <c r="Q1" s="169"/>
      <c r="R1" s="169"/>
      <c r="S1" s="169"/>
      <c r="T1" s="169"/>
      <c r="U1" s="169"/>
      <c r="V1" s="169"/>
      <c r="W1" s="169"/>
    </row>
    <row r="2" spans="1:23" ht="16.2" customHeight="1" thickBot="1" x14ac:dyDescent="0.35">
      <c r="B2" s="169"/>
      <c r="C2" s="242"/>
      <c r="D2" s="242"/>
      <c r="E2" s="242"/>
      <c r="F2" s="242"/>
      <c r="G2" s="242"/>
      <c r="H2" s="242"/>
      <c r="I2" s="167"/>
      <c r="J2" s="168"/>
      <c r="K2" s="38"/>
      <c r="L2" s="38"/>
      <c r="M2" s="38"/>
      <c r="N2" s="38"/>
      <c r="O2" s="38"/>
      <c r="P2" s="38"/>
      <c r="Q2" s="169"/>
      <c r="R2" s="169"/>
      <c r="S2" s="169"/>
      <c r="T2" s="169"/>
      <c r="U2" s="169"/>
      <c r="V2" s="169"/>
      <c r="W2" s="169"/>
    </row>
    <row r="3" spans="1:23" ht="16.2" customHeight="1" x14ac:dyDescent="0.3">
      <c r="B3" s="169"/>
      <c r="C3" s="169"/>
      <c r="D3" s="169"/>
      <c r="E3" s="169"/>
      <c r="F3" s="170"/>
      <c r="G3" s="32"/>
      <c r="H3" s="32"/>
      <c r="I3" s="171"/>
      <c r="J3" s="172"/>
      <c r="K3" s="32"/>
      <c r="L3" s="32"/>
      <c r="M3" s="32"/>
      <c r="N3" s="32"/>
      <c r="O3" s="32"/>
      <c r="P3" s="32"/>
      <c r="Q3" s="33"/>
      <c r="R3" s="169"/>
      <c r="S3" s="169"/>
      <c r="T3" s="169"/>
      <c r="U3" s="169"/>
      <c r="V3" s="169"/>
      <c r="W3" s="169"/>
    </row>
    <row r="4" spans="1:23" x14ac:dyDescent="0.3">
      <c r="B4" s="169"/>
      <c r="C4" s="243" t="s">
        <v>145</v>
      </c>
      <c r="D4" s="243"/>
      <c r="E4" s="169"/>
      <c r="F4" s="34"/>
      <c r="G4" s="30" t="s">
        <v>107</v>
      </c>
      <c r="H4" s="53" t="s">
        <v>43</v>
      </c>
      <c r="I4" s="53"/>
      <c r="J4" s="48"/>
      <c r="K4" s="31"/>
      <c r="L4" s="30"/>
      <c r="M4" s="30"/>
      <c r="N4" s="30"/>
      <c r="O4" s="30"/>
      <c r="P4" s="30"/>
      <c r="Q4" s="54" t="s">
        <v>29</v>
      </c>
      <c r="R4" s="169"/>
      <c r="S4" s="169"/>
      <c r="T4" s="169"/>
      <c r="U4" s="169"/>
      <c r="V4" s="169"/>
      <c r="W4" s="169"/>
    </row>
    <row r="5" spans="1:23" ht="16.2" customHeight="1" x14ac:dyDescent="0.3">
      <c r="B5" s="169"/>
      <c r="C5" s="243"/>
      <c r="D5" s="243"/>
      <c r="E5" s="169"/>
      <c r="F5" s="35"/>
      <c r="G5" s="28" t="s">
        <v>45</v>
      </c>
      <c r="H5" s="28" t="s">
        <v>45</v>
      </c>
      <c r="I5" s="28" t="s">
        <v>45</v>
      </c>
      <c r="J5" s="28" t="s">
        <v>0</v>
      </c>
      <c r="K5" s="28" t="s">
        <v>0</v>
      </c>
      <c r="L5" s="28" t="s">
        <v>0</v>
      </c>
      <c r="M5" s="28" t="s">
        <v>0</v>
      </c>
      <c r="N5" s="28" t="s">
        <v>0</v>
      </c>
      <c r="O5" s="28" t="s">
        <v>0</v>
      </c>
      <c r="P5" s="28" t="s">
        <v>0</v>
      </c>
      <c r="Q5" s="29" t="s">
        <v>1</v>
      </c>
      <c r="R5" s="169"/>
      <c r="S5" s="169"/>
      <c r="T5" s="169"/>
      <c r="U5" s="169"/>
      <c r="V5" s="169"/>
      <c r="W5" s="169"/>
    </row>
    <row r="6" spans="1:23" ht="15.6" customHeight="1" x14ac:dyDescent="0.3">
      <c r="B6" s="169"/>
      <c r="C6" s="243"/>
      <c r="D6" s="243"/>
      <c r="E6" s="169"/>
      <c r="F6" s="36" t="s">
        <v>35</v>
      </c>
      <c r="G6" s="4">
        <v>0.69</v>
      </c>
      <c r="H6" s="4">
        <v>1.1000000000000001</v>
      </c>
      <c r="I6" s="4"/>
      <c r="J6" s="4"/>
      <c r="K6" s="4"/>
      <c r="L6" s="4"/>
      <c r="M6" s="4"/>
      <c r="N6" s="4"/>
      <c r="O6" s="4"/>
      <c r="P6" s="4"/>
      <c r="Q6" s="5">
        <v>0.02</v>
      </c>
      <c r="R6" s="169"/>
      <c r="S6" s="169"/>
      <c r="T6" s="169"/>
      <c r="U6" s="169"/>
      <c r="V6" s="169"/>
      <c r="W6" s="169"/>
    </row>
    <row r="7" spans="1:23" ht="15" thickBot="1" x14ac:dyDescent="0.35">
      <c r="B7" s="169"/>
      <c r="C7" s="169"/>
      <c r="D7" s="169"/>
      <c r="E7" s="169"/>
      <c r="F7" s="37" t="s">
        <v>28</v>
      </c>
      <c r="G7" s="21">
        <v>60</v>
      </c>
      <c r="H7" s="21">
        <v>125</v>
      </c>
      <c r="I7" s="21"/>
      <c r="J7" s="21"/>
      <c r="K7" s="21"/>
      <c r="L7" s="21"/>
      <c r="M7" s="21"/>
      <c r="N7" s="21"/>
      <c r="O7" s="21"/>
      <c r="P7" s="21"/>
      <c r="Q7" s="22"/>
      <c r="R7" s="169"/>
      <c r="S7" s="169"/>
      <c r="T7" s="169"/>
      <c r="U7" s="169"/>
      <c r="V7" s="169"/>
      <c r="W7" s="169"/>
    </row>
    <row r="8" spans="1:23" ht="15" thickBot="1" x14ac:dyDescent="0.35">
      <c r="E8" s="7"/>
      <c r="F8" s="8"/>
      <c r="G8" s="9"/>
      <c r="H8" s="10"/>
      <c r="I8" s="10"/>
      <c r="J8" s="10"/>
      <c r="K8" s="10"/>
      <c r="L8" s="10"/>
      <c r="M8" s="10"/>
      <c r="N8" s="10"/>
      <c r="O8" s="10"/>
      <c r="P8" s="10"/>
      <c r="Q8" s="11"/>
      <c r="R8" s="6"/>
      <c r="S8" s="6"/>
      <c r="T8" s="6"/>
      <c r="U8" s="6"/>
      <c r="V8" s="6"/>
      <c r="W8" s="6"/>
    </row>
    <row r="9" spans="1:23" ht="15" customHeight="1" x14ac:dyDescent="0.3">
      <c r="B9" s="222"/>
      <c r="C9" s="223"/>
      <c r="D9" s="223"/>
      <c r="E9" s="224"/>
      <c r="F9" s="225"/>
      <c r="G9" s="241" t="s">
        <v>42</v>
      </c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160"/>
      <c r="T9" s="238" t="s">
        <v>41</v>
      </c>
      <c r="U9" s="239"/>
      <c r="V9" s="239"/>
      <c r="W9" s="240"/>
    </row>
    <row r="10" spans="1:23" ht="57.6" x14ac:dyDescent="0.3">
      <c r="B10" s="226" t="s">
        <v>2</v>
      </c>
      <c r="C10" s="227" t="s">
        <v>133</v>
      </c>
      <c r="D10" s="228" t="s">
        <v>46</v>
      </c>
      <c r="E10" s="229" t="s">
        <v>3</v>
      </c>
      <c r="F10" s="230" t="s">
        <v>4</v>
      </c>
      <c r="G10" s="231" t="str">
        <f>G4 &amp; "
 [MWh/år]"</f>
        <v>Fjärvärme
 [MWh/år]</v>
      </c>
      <c r="H10" s="231" t="str">
        <f t="shared" ref="H10:P10" si="0">H4 &amp; " 
[MWh/år]"</f>
        <v>El 
[MWh/år]</v>
      </c>
      <c r="I10" s="232" t="str">
        <f t="shared" si="0"/>
        <v xml:space="preserve"> 
[MWh/år]</v>
      </c>
      <c r="J10" s="232" t="str">
        <f t="shared" si="0"/>
        <v xml:space="preserve"> 
[MWh/år]</v>
      </c>
      <c r="K10" s="232" t="str">
        <f t="shared" si="0"/>
        <v xml:space="preserve"> 
[MWh/år]</v>
      </c>
      <c r="L10" s="232" t="str">
        <f t="shared" si="0"/>
        <v xml:space="preserve"> 
[MWh/år]</v>
      </c>
      <c r="M10" s="232" t="str">
        <f t="shared" si="0"/>
        <v xml:space="preserve"> 
[MWh/år]</v>
      </c>
      <c r="N10" s="232" t="str">
        <f t="shared" si="0"/>
        <v xml:space="preserve"> 
[MWh/år]</v>
      </c>
      <c r="O10" s="231" t="str">
        <f t="shared" si="0"/>
        <v xml:space="preserve"> 
[MWh/år]</v>
      </c>
      <c r="P10" s="232" t="str">
        <f t="shared" si="0"/>
        <v xml:space="preserve"> 
[MWh/år]</v>
      </c>
      <c r="Q10" s="231" t="str">
        <f>Q4 &amp; " [m3/år]"</f>
        <v>Tappvatten [m3/år]</v>
      </c>
      <c r="R10" s="231" t="s">
        <v>39</v>
      </c>
      <c r="S10" s="233" t="s">
        <v>36</v>
      </c>
      <c r="T10" s="234" t="s">
        <v>5</v>
      </c>
      <c r="U10" s="235" t="s">
        <v>37</v>
      </c>
      <c r="V10" s="235" t="s">
        <v>6</v>
      </c>
      <c r="W10" s="236" t="s">
        <v>34</v>
      </c>
    </row>
    <row r="11" spans="1:23" ht="15.6" x14ac:dyDescent="0.3">
      <c r="B11" s="18"/>
      <c r="C11" s="73"/>
      <c r="D11" s="73"/>
      <c r="E11" s="24"/>
      <c r="F11" s="19" t="s">
        <v>38</v>
      </c>
      <c r="G11" s="15">
        <f>SUBTOTAL(9,Åtgärdslista3[Kolumn6])</f>
        <v>770.29999999999984</v>
      </c>
      <c r="H11" s="15">
        <f>SUBTOTAL(9,Åtgärdslista3[Kolumn8])</f>
        <v>395.2</v>
      </c>
      <c r="I11" s="15">
        <f>SUBTOTAL(9,Åtgärdslista3[Kolumn85])</f>
        <v>0</v>
      </c>
      <c r="J11" s="15">
        <f>SUBTOTAL(9,Åtgärdslista3[Kolumn852])</f>
        <v>0</v>
      </c>
      <c r="K11" s="15">
        <f>SUBTOTAL(9,Åtgärdslista3[Kolumn86])</f>
        <v>0</v>
      </c>
      <c r="L11" s="15">
        <f>SUBTOTAL(9,Åtgärdslista3[Kolumn87])</f>
        <v>0</v>
      </c>
      <c r="M11" s="15">
        <f>SUBTOTAL(9,Åtgärdslista3[Kolumn84])</f>
        <v>0</v>
      </c>
      <c r="N11" s="15">
        <f>SUBTOTAL(9,Åtgärdslista3[Kolumn83])</f>
        <v>0</v>
      </c>
      <c r="O11" s="15">
        <f>SUBTOTAL(9,Åtgärdslista3[Kolumn82])</f>
        <v>0</v>
      </c>
      <c r="P11" s="15">
        <f>SUBTOTAL(9,Åtgärdslista3[Kolumn122])</f>
        <v>0</v>
      </c>
      <c r="Q11" s="15">
        <f>SUBTOTAL(9,Åtgärdslista3[Kolumn9])</f>
        <v>1590.8</v>
      </c>
      <c r="R11" s="15">
        <f>SUBTOTAL(9,Åtgärdslista3[Kolumn10])</f>
        <v>0</v>
      </c>
      <c r="S11" s="161">
        <f>SUBTOTAL(9,Åtgärdslista3[Kolumn102])</f>
        <v>11047.800000000001</v>
      </c>
      <c r="T11" s="16">
        <f>SUBTOTAL(9,T13:T71)</f>
        <v>998.04300000000035</v>
      </c>
      <c r="U11" s="15">
        <f>SUBTOTAL(9,U13:U71)</f>
        <v>11047.800000000001</v>
      </c>
      <c r="V11" s="23">
        <f>IFERROR(U11/(T11),"-")</f>
        <v>11.069462938971565</v>
      </c>
      <c r="W11" s="17">
        <f>SUBTOTAL(9,Åtgärdslista3[Kolumn14])</f>
        <v>95.617999999999981</v>
      </c>
    </row>
    <row r="12" spans="1:23" ht="17.25" customHeight="1" thickBot="1" x14ac:dyDescent="0.35">
      <c r="B12" s="41" t="s">
        <v>7</v>
      </c>
      <c r="C12" s="42" t="s">
        <v>71</v>
      </c>
      <c r="D12" s="42" t="s">
        <v>54</v>
      </c>
      <c r="E12" s="40" t="s">
        <v>8</v>
      </c>
      <c r="F12" s="39" t="s">
        <v>9</v>
      </c>
      <c r="G12" s="55" t="s">
        <v>10</v>
      </c>
      <c r="H12" s="55" t="s">
        <v>11</v>
      </c>
      <c r="I12" s="55" t="s">
        <v>12</v>
      </c>
      <c r="J12" s="55" t="s">
        <v>13</v>
      </c>
      <c r="K12" s="55" t="s">
        <v>14</v>
      </c>
      <c r="L12" s="55" t="s">
        <v>15</v>
      </c>
      <c r="M12" s="55" t="s">
        <v>16</v>
      </c>
      <c r="N12" s="55" t="s">
        <v>17</v>
      </c>
      <c r="O12" s="55" t="s">
        <v>18</v>
      </c>
      <c r="P12" s="55" t="s">
        <v>19</v>
      </c>
      <c r="Q12" s="55" t="s">
        <v>20</v>
      </c>
      <c r="R12" s="55" t="s">
        <v>21</v>
      </c>
      <c r="S12" s="162" t="s">
        <v>22</v>
      </c>
      <c r="T12" s="40" t="s">
        <v>23</v>
      </c>
      <c r="U12" s="42" t="s">
        <v>24</v>
      </c>
      <c r="V12" s="42" t="s">
        <v>25</v>
      </c>
      <c r="W12" s="41" t="s">
        <v>30</v>
      </c>
    </row>
    <row r="13" spans="1:23" ht="15.6" x14ac:dyDescent="0.3">
      <c r="B13" s="25">
        <v>1</v>
      </c>
      <c r="C13" s="26" t="s">
        <v>73</v>
      </c>
      <c r="D13" s="26" t="s">
        <v>70</v>
      </c>
      <c r="E13" s="12" t="s">
        <v>70</v>
      </c>
      <c r="F13" s="20" t="s">
        <v>52</v>
      </c>
      <c r="G13" s="27">
        <v>0.5</v>
      </c>
      <c r="H13" s="27"/>
      <c r="I13" s="27"/>
      <c r="J13" s="27"/>
      <c r="K13" s="27"/>
      <c r="L13" s="27"/>
      <c r="M13" s="27"/>
      <c r="N13" s="27"/>
      <c r="O13" s="27"/>
      <c r="P13" s="27"/>
      <c r="Q13" s="27">
        <v>144</v>
      </c>
      <c r="R13" s="158"/>
      <c r="S13" s="163">
        <v>6.4</v>
      </c>
      <c r="T13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3.2249999999999996</v>
      </c>
      <c r="U13" s="47">
        <f t="shared" ref="U13:U44" si="1">IF(AND(F13="Ja",S13&lt;&gt;0),S13,"-")</f>
        <v>6.4</v>
      </c>
      <c r="V13" s="45">
        <f>IFERROR(IF(Åtgärdslista3[[#This Row],[Kolumn5]]/Åtgärdslista3[[#This Row],[Kolumn11]]&lt;0,"-",Åtgärdslista3[[#This Row],[Kolumn5]]/Åtgärdslista3[[#This Row],[Kolumn11]]),"-")</f>
        <v>1.9844961240310082</v>
      </c>
      <c r="W13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0.03</v>
      </c>
    </row>
    <row r="14" spans="1:23" s="13" customFormat="1" ht="28.8" x14ac:dyDescent="0.3">
      <c r="A14"/>
      <c r="B14" s="25">
        <v>2</v>
      </c>
      <c r="C14" s="26" t="s">
        <v>73</v>
      </c>
      <c r="D14" s="26" t="s">
        <v>86</v>
      </c>
      <c r="E14" s="12" t="s">
        <v>89</v>
      </c>
      <c r="F14" s="20" t="s">
        <v>26</v>
      </c>
      <c r="G14" s="27">
        <v>5.5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158"/>
      <c r="S14" s="163">
        <v>150</v>
      </c>
      <c r="T14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3.7949999999999999</v>
      </c>
      <c r="U14" s="47">
        <f t="shared" si="1"/>
        <v>150</v>
      </c>
      <c r="V14" s="45">
        <f>IFERROR(IF(Åtgärdslista3[[#This Row],[Kolumn5]]/Åtgärdslista3[[#This Row],[Kolumn11]]&lt;0,"-",Åtgärdslista3[[#This Row],[Kolumn5]]/Åtgärdslista3[[#This Row],[Kolumn11]]),"-")</f>
        <v>39.525691699604742</v>
      </c>
      <c r="W14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0.33</v>
      </c>
    </row>
    <row r="15" spans="1:23" s="13" customFormat="1" ht="15.6" x14ac:dyDescent="0.3">
      <c r="A15" s="14"/>
      <c r="B15" s="25">
        <v>3</v>
      </c>
      <c r="C15" s="26" t="s">
        <v>73</v>
      </c>
      <c r="D15" s="26" t="s">
        <v>87</v>
      </c>
      <c r="E15" s="12" t="s">
        <v>90</v>
      </c>
      <c r="F15" s="20" t="s">
        <v>26</v>
      </c>
      <c r="G15" s="27">
        <v>53.8</v>
      </c>
      <c r="H15" s="27">
        <v>-17.899999999999999</v>
      </c>
      <c r="I15" s="27"/>
      <c r="J15" s="27"/>
      <c r="K15" s="27"/>
      <c r="L15" s="27"/>
      <c r="M15" s="27"/>
      <c r="N15" s="27"/>
      <c r="O15" s="27"/>
      <c r="P15" s="27"/>
      <c r="Q15" s="27"/>
      <c r="R15" s="158"/>
      <c r="S15" s="163">
        <v>160</v>
      </c>
      <c r="T15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17.431999999999992</v>
      </c>
      <c r="U15" s="47">
        <f t="shared" si="1"/>
        <v>160</v>
      </c>
      <c r="V15" s="45">
        <f>IFERROR(IF(Åtgärdslista3[[#This Row],[Kolumn5]]/Åtgärdslista3[[#This Row],[Kolumn11]]&lt;0,"-",Åtgärdslista3[[#This Row],[Kolumn5]]/Åtgärdslista3[[#This Row],[Kolumn11]]),"-")</f>
        <v>9.1785222579164802</v>
      </c>
      <c r="W15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0.99050000000000005</v>
      </c>
    </row>
    <row r="16" spans="1:23" s="13" customFormat="1" ht="15.6" x14ac:dyDescent="0.3">
      <c r="A16"/>
      <c r="B16" s="25">
        <v>4</v>
      </c>
      <c r="C16" s="26" t="s">
        <v>73</v>
      </c>
      <c r="D16" s="26" t="s">
        <v>43</v>
      </c>
      <c r="E16" s="12" t="s">
        <v>91</v>
      </c>
      <c r="F16" s="20" t="s">
        <v>26</v>
      </c>
      <c r="G16" s="27"/>
      <c r="H16" s="27">
        <v>9</v>
      </c>
      <c r="I16" s="27"/>
      <c r="J16" s="27"/>
      <c r="K16" s="27"/>
      <c r="L16" s="27"/>
      <c r="M16" s="27"/>
      <c r="N16" s="27"/>
      <c r="O16" s="27"/>
      <c r="P16" s="27"/>
      <c r="Q16" s="27"/>
      <c r="R16" s="158"/>
      <c r="S16" s="163">
        <v>150</v>
      </c>
      <c r="T16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9.9</v>
      </c>
      <c r="U16" s="47">
        <f t="shared" si="1"/>
        <v>150</v>
      </c>
      <c r="V16" s="45">
        <f>IFERROR(IF(Åtgärdslista3[[#This Row],[Kolumn5]]/Åtgärdslista3[[#This Row],[Kolumn11]]&lt;0,"-",Åtgärdslista3[[#This Row],[Kolumn5]]/Åtgärdslista3[[#This Row],[Kolumn11]]),"-")</f>
        <v>15.15151515151515</v>
      </c>
      <c r="W16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1.125</v>
      </c>
    </row>
    <row r="17" spans="1:23" s="13" customFormat="1" ht="15.6" x14ac:dyDescent="0.3">
      <c r="A17"/>
      <c r="B17" s="25">
        <v>5</v>
      </c>
      <c r="C17" s="26" t="s">
        <v>74</v>
      </c>
      <c r="D17" s="26" t="s">
        <v>88</v>
      </c>
      <c r="E17" s="12" t="s">
        <v>92</v>
      </c>
      <c r="F17" s="20" t="s">
        <v>26</v>
      </c>
      <c r="G17" s="27">
        <v>6.1</v>
      </c>
      <c r="H17" s="27">
        <v>-0.5</v>
      </c>
      <c r="I17" s="27"/>
      <c r="J17" s="27"/>
      <c r="K17" s="27"/>
      <c r="L17" s="27"/>
      <c r="M17" s="27"/>
      <c r="N17" s="27"/>
      <c r="O17" s="27"/>
      <c r="P17" s="27"/>
      <c r="Q17" s="27"/>
      <c r="R17" s="158"/>
      <c r="S17" s="163">
        <v>80</v>
      </c>
      <c r="T17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3.6589999999999998</v>
      </c>
      <c r="U17" s="47">
        <f t="shared" si="1"/>
        <v>80</v>
      </c>
      <c r="V17" s="45">
        <f>IFERROR(IF(Åtgärdslista3[[#This Row],[Kolumn5]]/Åtgärdslista3[[#This Row],[Kolumn11]]&lt;0,"-",Åtgärdslista3[[#This Row],[Kolumn5]]/Åtgärdslista3[[#This Row],[Kolumn11]]),"-")</f>
        <v>21.863897239682974</v>
      </c>
      <c r="W17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0.30349999999999999</v>
      </c>
    </row>
    <row r="18" spans="1:23" s="13" customFormat="1" ht="15.6" x14ac:dyDescent="0.3">
      <c r="A18"/>
      <c r="B18" s="25">
        <v>6</v>
      </c>
      <c r="C18" s="26" t="s">
        <v>75</v>
      </c>
      <c r="D18" s="26" t="s">
        <v>87</v>
      </c>
      <c r="E18" s="12" t="s">
        <v>93</v>
      </c>
      <c r="F18" s="20" t="s">
        <v>26</v>
      </c>
      <c r="G18" s="27">
        <v>-809</v>
      </c>
      <c r="H18" s="27">
        <v>809</v>
      </c>
      <c r="I18" s="27"/>
      <c r="J18" s="27"/>
      <c r="K18" s="27"/>
      <c r="L18" s="27"/>
      <c r="M18" s="27"/>
      <c r="N18" s="27"/>
      <c r="O18" s="27"/>
      <c r="P18" s="27"/>
      <c r="Q18" s="27"/>
      <c r="R18" s="158"/>
      <c r="S18" s="163">
        <v>1980</v>
      </c>
      <c r="T18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331.69000000000017</v>
      </c>
      <c r="U18" s="47">
        <f t="shared" si="1"/>
        <v>1980</v>
      </c>
      <c r="V18" s="45">
        <f>IFERROR(IF(Åtgärdslista3[[#This Row],[Kolumn5]]/Åtgärdslista3[[#This Row],[Kolumn11]]&lt;0,"-",Åtgärdslista3[[#This Row],[Kolumn5]]/Åtgärdslista3[[#This Row],[Kolumn11]]),"-")</f>
        <v>5.9694292863818594</v>
      </c>
      <c r="W18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52.585000000000001</v>
      </c>
    </row>
    <row r="19" spans="1:23" s="13" customFormat="1" ht="15.6" x14ac:dyDescent="0.3">
      <c r="A19"/>
      <c r="B19" s="25">
        <v>7</v>
      </c>
      <c r="C19" s="26" t="s">
        <v>75</v>
      </c>
      <c r="D19" s="26" t="s">
        <v>87</v>
      </c>
      <c r="E19" s="12" t="s">
        <v>94</v>
      </c>
      <c r="F19" s="20" t="s">
        <v>26</v>
      </c>
      <c r="G19" s="27">
        <v>23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158"/>
      <c r="S19" s="163">
        <v>360</v>
      </c>
      <c r="T19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15.87</v>
      </c>
      <c r="U19" s="47">
        <f t="shared" si="1"/>
        <v>360</v>
      </c>
      <c r="V19" s="45">
        <f>IFERROR(IF(Åtgärdslista3[[#This Row],[Kolumn5]]/Åtgärdslista3[[#This Row],[Kolumn11]]&lt;0,"-",Åtgärdslista3[[#This Row],[Kolumn5]]/Åtgärdslista3[[#This Row],[Kolumn11]]),"-")</f>
        <v>22.684310018903592</v>
      </c>
      <c r="W19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1.38</v>
      </c>
    </row>
    <row r="20" spans="1:23" s="13" customFormat="1" ht="28.2" customHeight="1" x14ac:dyDescent="0.3">
      <c r="A20"/>
      <c r="B20" s="25">
        <v>8</v>
      </c>
      <c r="C20" s="26" t="s">
        <v>75</v>
      </c>
      <c r="D20" s="26" t="s">
        <v>87</v>
      </c>
      <c r="E20" s="12" t="s">
        <v>95</v>
      </c>
      <c r="F20" s="20" t="s">
        <v>26</v>
      </c>
      <c r="G20" s="27">
        <v>339</v>
      </c>
      <c r="H20" s="27">
        <v>-113</v>
      </c>
      <c r="I20" s="27"/>
      <c r="J20" s="27"/>
      <c r="K20" s="27"/>
      <c r="L20" s="27"/>
      <c r="M20" s="27"/>
      <c r="N20" s="27"/>
      <c r="O20" s="27"/>
      <c r="P20" s="27"/>
      <c r="Q20" s="27"/>
      <c r="R20" s="158"/>
      <c r="S20" s="163">
        <v>1700</v>
      </c>
      <c r="T20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109.60999999999996</v>
      </c>
      <c r="U20" s="47">
        <f t="shared" si="1"/>
        <v>1700</v>
      </c>
      <c r="V20" s="45">
        <f>IFERROR(IF(Åtgärdslista3[[#This Row],[Kolumn5]]/Åtgärdslista3[[#This Row],[Kolumn11]]&lt;0,"-",Åtgärdslista3[[#This Row],[Kolumn5]]/Åtgärdslista3[[#This Row],[Kolumn11]]),"-")</f>
        <v>15.509533801660439</v>
      </c>
      <c r="W20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6.2149999999999999</v>
      </c>
    </row>
    <row r="21" spans="1:23" s="13" customFormat="1" ht="15.6" x14ac:dyDescent="0.3">
      <c r="A21"/>
      <c r="B21" s="25">
        <v>9</v>
      </c>
      <c r="C21" s="26" t="s">
        <v>75</v>
      </c>
      <c r="D21" s="26" t="s">
        <v>43</v>
      </c>
      <c r="E21" s="12" t="s">
        <v>91</v>
      </c>
      <c r="F21" s="20" t="s">
        <v>26</v>
      </c>
      <c r="G21" s="27"/>
      <c r="H21" s="27">
        <v>18</v>
      </c>
      <c r="I21" s="27"/>
      <c r="J21" s="27"/>
      <c r="K21" s="27"/>
      <c r="L21" s="27"/>
      <c r="M21" s="27"/>
      <c r="N21" s="27"/>
      <c r="O21" s="27"/>
      <c r="P21" s="27"/>
      <c r="Q21" s="27"/>
      <c r="R21" s="158"/>
      <c r="S21" s="163">
        <v>250</v>
      </c>
      <c r="T21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19.8</v>
      </c>
      <c r="U21" s="47">
        <f t="shared" si="1"/>
        <v>250</v>
      </c>
      <c r="V21" s="45">
        <f>IFERROR(IF(Åtgärdslista3[[#This Row],[Kolumn5]]/Åtgärdslista3[[#This Row],[Kolumn11]]&lt;0,"-",Åtgärdslista3[[#This Row],[Kolumn5]]/Åtgärdslista3[[#This Row],[Kolumn11]]),"-")</f>
        <v>12.626262626262626</v>
      </c>
      <c r="W21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2.25</v>
      </c>
    </row>
    <row r="22" spans="1:23" s="13" customFormat="1" ht="15.6" x14ac:dyDescent="0.3">
      <c r="A22"/>
      <c r="B22" s="25">
        <v>10</v>
      </c>
      <c r="C22" s="26" t="s">
        <v>75</v>
      </c>
      <c r="D22" s="26" t="s">
        <v>87</v>
      </c>
      <c r="E22" s="12" t="s">
        <v>96</v>
      </c>
      <c r="F22" s="20" t="s">
        <v>26</v>
      </c>
      <c r="G22" s="27">
        <v>12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158"/>
      <c r="S22" s="163">
        <v>92</v>
      </c>
      <c r="T22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8.2799999999999994</v>
      </c>
      <c r="U22" s="47">
        <f t="shared" si="1"/>
        <v>92</v>
      </c>
      <c r="V22" s="45">
        <f>IFERROR(IF(Åtgärdslista3[[#This Row],[Kolumn5]]/Åtgärdslista3[[#This Row],[Kolumn11]]&lt;0,"-",Åtgärdslista3[[#This Row],[Kolumn5]]/Åtgärdslista3[[#This Row],[Kolumn11]]),"-")</f>
        <v>11.111111111111112</v>
      </c>
      <c r="W22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0.72</v>
      </c>
    </row>
    <row r="23" spans="1:23" s="13" customFormat="1" ht="15.6" x14ac:dyDescent="0.3">
      <c r="A23"/>
      <c r="B23" s="25">
        <v>11</v>
      </c>
      <c r="C23" s="26" t="s">
        <v>75</v>
      </c>
      <c r="D23" s="26" t="s">
        <v>87</v>
      </c>
      <c r="E23" s="12" t="s">
        <v>97</v>
      </c>
      <c r="F23" s="20" t="s">
        <v>26</v>
      </c>
      <c r="G23" s="27">
        <v>31</v>
      </c>
      <c r="H23" s="27">
        <v>-10.5</v>
      </c>
      <c r="I23" s="27"/>
      <c r="J23" s="27"/>
      <c r="K23" s="27"/>
      <c r="L23" s="27"/>
      <c r="M23" s="27"/>
      <c r="N23" s="27"/>
      <c r="O23" s="27"/>
      <c r="P23" s="27"/>
      <c r="Q23" s="27"/>
      <c r="R23" s="158"/>
      <c r="S23" s="163">
        <v>80</v>
      </c>
      <c r="T23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9.8399999999999963</v>
      </c>
      <c r="U23" s="47">
        <f t="shared" si="1"/>
        <v>80</v>
      </c>
      <c r="V23" s="45">
        <f>IFERROR(IF(Åtgärdslista3[[#This Row],[Kolumn5]]/Åtgärdslista3[[#This Row],[Kolumn11]]&lt;0,"-",Åtgärdslista3[[#This Row],[Kolumn5]]/Åtgärdslista3[[#This Row],[Kolumn11]]),"-")</f>
        <v>8.1300813008130106</v>
      </c>
      <c r="W23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0.54749999999999999</v>
      </c>
    </row>
    <row r="24" spans="1:23" s="13" customFormat="1" ht="15.6" x14ac:dyDescent="0.3">
      <c r="A24"/>
      <c r="B24" s="25">
        <v>12</v>
      </c>
      <c r="C24" s="26" t="s">
        <v>75</v>
      </c>
      <c r="D24" s="26" t="s">
        <v>87</v>
      </c>
      <c r="E24" s="12" t="s">
        <v>98</v>
      </c>
      <c r="F24" s="20" t="s">
        <v>26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158"/>
      <c r="S24" s="163">
        <v>350</v>
      </c>
      <c r="T24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0</v>
      </c>
      <c r="U24" s="47">
        <f t="shared" si="1"/>
        <v>350</v>
      </c>
      <c r="V24" s="45" t="str">
        <f>IFERROR(IF(Åtgärdslista3[[#This Row],[Kolumn5]]/Åtgärdslista3[[#This Row],[Kolumn11]]&lt;0,"-",Åtgärdslista3[[#This Row],[Kolumn5]]/Åtgärdslista3[[#This Row],[Kolumn11]]),"-")</f>
        <v>-</v>
      </c>
      <c r="W24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</v>
      </c>
    </row>
    <row r="25" spans="1:23" s="13" customFormat="1" ht="15.6" x14ac:dyDescent="0.3">
      <c r="A25"/>
      <c r="B25" s="25">
        <v>13</v>
      </c>
      <c r="C25" s="26" t="s">
        <v>76</v>
      </c>
      <c r="D25" s="26" t="s">
        <v>70</v>
      </c>
      <c r="E25" s="12" t="s">
        <v>70</v>
      </c>
      <c r="F25" s="20" t="s">
        <v>26</v>
      </c>
      <c r="G25" s="27">
        <v>0.4</v>
      </c>
      <c r="H25" s="27"/>
      <c r="I25" s="27"/>
      <c r="J25" s="27"/>
      <c r="K25" s="27"/>
      <c r="L25" s="27"/>
      <c r="M25" s="27"/>
      <c r="N25" s="27"/>
      <c r="O25" s="27"/>
      <c r="P25" s="27"/>
      <c r="Q25" s="27">
        <v>98</v>
      </c>
      <c r="R25" s="158"/>
      <c r="S25" s="163">
        <v>8.8000000000000007</v>
      </c>
      <c r="T25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2.2359999999999998</v>
      </c>
      <c r="U25" s="47">
        <f t="shared" si="1"/>
        <v>8.8000000000000007</v>
      </c>
      <c r="V25" s="45">
        <f>IFERROR(IF(Åtgärdslista3[[#This Row],[Kolumn5]]/Åtgärdslista3[[#This Row],[Kolumn11]]&lt;0,"-",Åtgärdslista3[[#This Row],[Kolumn5]]/Åtgärdslista3[[#This Row],[Kolumn11]]),"-")</f>
        <v>3.9355992844364946</v>
      </c>
      <c r="W25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2.4E-2</v>
      </c>
    </row>
    <row r="26" spans="1:23" s="13" customFormat="1" ht="28.8" x14ac:dyDescent="0.3">
      <c r="A26"/>
      <c r="B26" s="25">
        <v>14</v>
      </c>
      <c r="C26" s="26" t="s">
        <v>76</v>
      </c>
      <c r="D26" s="26" t="s">
        <v>86</v>
      </c>
      <c r="E26" s="12" t="s">
        <v>89</v>
      </c>
      <c r="F26" s="20" t="s">
        <v>26</v>
      </c>
      <c r="G26" s="56">
        <v>4.9000000000000004</v>
      </c>
      <c r="H26" s="56"/>
      <c r="I26" s="56"/>
      <c r="J26" s="27"/>
      <c r="K26" s="27"/>
      <c r="L26" s="27"/>
      <c r="M26" s="27"/>
      <c r="N26" s="27"/>
      <c r="O26" s="27"/>
      <c r="P26" s="27"/>
      <c r="Q26" s="56"/>
      <c r="R26" s="159"/>
      <c r="S26" s="163">
        <v>50</v>
      </c>
      <c r="T26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3.3809999999999998</v>
      </c>
      <c r="U26" s="47">
        <f t="shared" si="1"/>
        <v>50</v>
      </c>
      <c r="V26" s="45">
        <f>IFERROR(IF(Åtgärdslista3[[#This Row],[Kolumn5]]/Åtgärdslista3[[#This Row],[Kolumn11]]&lt;0,"-",Åtgärdslista3[[#This Row],[Kolumn5]]/Åtgärdslista3[[#This Row],[Kolumn11]]),"-")</f>
        <v>14.788524105294293</v>
      </c>
      <c r="W26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0.29399999999999998</v>
      </c>
    </row>
    <row r="27" spans="1:23" s="13" customFormat="1" ht="15.6" x14ac:dyDescent="0.3">
      <c r="A27"/>
      <c r="B27" s="25">
        <v>15</v>
      </c>
      <c r="C27" s="26" t="s">
        <v>76</v>
      </c>
      <c r="D27" s="26" t="s">
        <v>87</v>
      </c>
      <c r="E27" s="12" t="s">
        <v>90</v>
      </c>
      <c r="F27" s="20" t="s">
        <v>26</v>
      </c>
      <c r="G27" s="56">
        <v>66</v>
      </c>
      <c r="H27" s="56">
        <v>-22</v>
      </c>
      <c r="I27" s="56"/>
      <c r="J27" s="27"/>
      <c r="K27" s="27"/>
      <c r="L27" s="27"/>
      <c r="M27" s="27"/>
      <c r="N27" s="27"/>
      <c r="O27" s="27"/>
      <c r="P27" s="27"/>
      <c r="Q27" s="56"/>
      <c r="R27" s="159"/>
      <c r="S27" s="163">
        <v>230</v>
      </c>
      <c r="T27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21.339999999999996</v>
      </c>
      <c r="U27" s="47">
        <f t="shared" si="1"/>
        <v>230</v>
      </c>
      <c r="V27" s="45">
        <f>IFERROR(IF(Åtgärdslista3[[#This Row],[Kolumn5]]/Åtgärdslista3[[#This Row],[Kolumn11]]&lt;0,"-",Åtgärdslista3[[#This Row],[Kolumn5]]/Åtgärdslista3[[#This Row],[Kolumn11]]),"-")</f>
        <v>10.777881911902533</v>
      </c>
      <c r="W27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1.21</v>
      </c>
    </row>
    <row r="28" spans="1:23" s="13" customFormat="1" ht="15.6" x14ac:dyDescent="0.3">
      <c r="A28"/>
      <c r="B28" s="25">
        <v>16</v>
      </c>
      <c r="C28" s="26" t="s">
        <v>75</v>
      </c>
      <c r="D28" s="26" t="s">
        <v>87</v>
      </c>
      <c r="E28" s="12" t="s">
        <v>99</v>
      </c>
      <c r="F28" s="20" t="s">
        <v>26</v>
      </c>
      <c r="G28" s="56">
        <v>52</v>
      </c>
      <c r="H28" s="56"/>
      <c r="I28" s="56"/>
      <c r="J28" s="27"/>
      <c r="K28" s="27"/>
      <c r="L28" s="27"/>
      <c r="M28" s="27"/>
      <c r="N28" s="27"/>
      <c r="O28" s="27"/>
      <c r="P28" s="27"/>
      <c r="Q28" s="56"/>
      <c r="R28" s="159"/>
      <c r="S28" s="163">
        <v>600</v>
      </c>
      <c r="T28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35.879999999999995</v>
      </c>
      <c r="U28" s="47">
        <f t="shared" si="1"/>
        <v>600</v>
      </c>
      <c r="V28" s="45">
        <f>IFERROR(IF(Åtgärdslista3[[#This Row],[Kolumn5]]/Åtgärdslista3[[#This Row],[Kolumn11]]&lt;0,"-",Åtgärdslista3[[#This Row],[Kolumn5]]/Åtgärdslista3[[#This Row],[Kolumn11]]),"-")</f>
        <v>16.722408026755854</v>
      </c>
      <c r="W28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3.12</v>
      </c>
    </row>
    <row r="29" spans="1:23" s="13" customFormat="1" ht="28.8" x14ac:dyDescent="0.3">
      <c r="A29"/>
      <c r="B29" s="25">
        <v>17</v>
      </c>
      <c r="C29" s="26" t="s">
        <v>77</v>
      </c>
      <c r="D29" s="26" t="s">
        <v>86</v>
      </c>
      <c r="E29" s="12" t="s">
        <v>100</v>
      </c>
      <c r="F29" s="20" t="s">
        <v>26</v>
      </c>
      <c r="G29" s="56"/>
      <c r="H29" s="56"/>
      <c r="I29" s="56"/>
      <c r="J29" s="27"/>
      <c r="K29" s="27"/>
      <c r="L29" s="27"/>
      <c r="M29" s="27"/>
      <c r="N29" s="27"/>
      <c r="O29" s="27"/>
      <c r="P29" s="27"/>
      <c r="Q29" s="56"/>
      <c r="R29" s="159"/>
      <c r="S29" s="163"/>
      <c r="T29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0</v>
      </c>
      <c r="U29" s="47" t="str">
        <f t="shared" si="1"/>
        <v>-</v>
      </c>
      <c r="V29" s="45" t="str">
        <f>IFERROR(IF(Åtgärdslista3[[#This Row],[Kolumn5]]/Åtgärdslista3[[#This Row],[Kolumn11]]&lt;0,"-",Åtgärdslista3[[#This Row],[Kolumn5]]/Åtgärdslista3[[#This Row],[Kolumn11]]),"-")</f>
        <v>-</v>
      </c>
      <c r="W29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</v>
      </c>
    </row>
    <row r="30" spans="1:23" s="13" customFormat="1" ht="28.8" x14ac:dyDescent="0.3">
      <c r="A30"/>
      <c r="B30" s="25">
        <v>18</v>
      </c>
      <c r="C30" s="26" t="s">
        <v>77</v>
      </c>
      <c r="D30" s="26" t="s">
        <v>86</v>
      </c>
      <c r="E30" s="12" t="s">
        <v>101</v>
      </c>
      <c r="F30" s="20" t="s">
        <v>26</v>
      </c>
      <c r="G30" s="56"/>
      <c r="H30" s="56"/>
      <c r="I30" s="56"/>
      <c r="J30" s="27"/>
      <c r="K30" s="27"/>
      <c r="L30" s="27"/>
      <c r="M30" s="27"/>
      <c r="N30" s="27"/>
      <c r="O30" s="27"/>
      <c r="P30" s="27"/>
      <c r="Q30" s="56"/>
      <c r="R30" s="159"/>
      <c r="S30" s="163"/>
      <c r="T30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0</v>
      </c>
      <c r="U30" s="47" t="str">
        <f t="shared" si="1"/>
        <v>-</v>
      </c>
      <c r="V30" s="45" t="str">
        <f>IFERROR(IF(Åtgärdslista3[[#This Row],[Kolumn5]]/Åtgärdslista3[[#This Row],[Kolumn11]]&lt;0,"-",Åtgärdslista3[[#This Row],[Kolumn5]]/Åtgärdslista3[[#This Row],[Kolumn11]]),"-")</f>
        <v>-</v>
      </c>
      <c r="W30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</v>
      </c>
    </row>
    <row r="31" spans="1:23" s="13" customFormat="1" ht="15.6" x14ac:dyDescent="0.3">
      <c r="A31"/>
      <c r="B31" s="25">
        <v>19</v>
      </c>
      <c r="C31" s="26" t="s">
        <v>78</v>
      </c>
      <c r="D31" s="26" t="s">
        <v>70</v>
      </c>
      <c r="E31" s="12" t="s">
        <v>70</v>
      </c>
      <c r="F31" s="20" t="s">
        <v>26</v>
      </c>
      <c r="G31" s="56">
        <v>0.4</v>
      </c>
      <c r="H31" s="56"/>
      <c r="I31" s="56"/>
      <c r="J31" s="27"/>
      <c r="K31" s="27"/>
      <c r="L31" s="27"/>
      <c r="M31" s="27"/>
      <c r="N31" s="27"/>
      <c r="O31" s="27"/>
      <c r="P31" s="27"/>
      <c r="Q31" s="56">
        <v>106</v>
      </c>
      <c r="R31" s="159"/>
      <c r="S31" s="163">
        <v>7</v>
      </c>
      <c r="T31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2.3959999999999999</v>
      </c>
      <c r="U31" s="47">
        <f t="shared" si="1"/>
        <v>7</v>
      </c>
      <c r="V31" s="45">
        <f>IFERROR(IF(Åtgärdslista3[[#This Row],[Kolumn5]]/Åtgärdslista3[[#This Row],[Kolumn11]]&lt;0,"-",Åtgärdslista3[[#This Row],[Kolumn5]]/Åtgärdslista3[[#This Row],[Kolumn11]]),"-")</f>
        <v>2.9215358931552591</v>
      </c>
      <c r="W31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2.4E-2</v>
      </c>
    </row>
    <row r="32" spans="1:23" s="13" customFormat="1" ht="28.8" x14ac:dyDescent="0.3">
      <c r="A32"/>
      <c r="B32" s="25">
        <v>20</v>
      </c>
      <c r="C32" s="26" t="s">
        <v>78</v>
      </c>
      <c r="D32" s="26" t="s">
        <v>86</v>
      </c>
      <c r="E32" s="12" t="s">
        <v>89</v>
      </c>
      <c r="F32" s="20" t="s">
        <v>26</v>
      </c>
      <c r="G32" s="56">
        <v>5.3</v>
      </c>
      <c r="H32" s="56"/>
      <c r="I32" s="56"/>
      <c r="J32" s="27"/>
      <c r="K32" s="27"/>
      <c r="L32" s="27"/>
      <c r="M32" s="27"/>
      <c r="N32" s="27"/>
      <c r="O32" s="27"/>
      <c r="P32" s="27"/>
      <c r="Q32" s="56"/>
      <c r="R32" s="159"/>
      <c r="S32" s="163">
        <v>50</v>
      </c>
      <c r="T32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3.6569999999999996</v>
      </c>
      <c r="U32" s="47">
        <f t="shared" si="1"/>
        <v>50</v>
      </c>
      <c r="V32" s="45">
        <f>IFERROR(IF(Åtgärdslista3[[#This Row],[Kolumn5]]/Åtgärdslista3[[#This Row],[Kolumn11]]&lt;0,"-",Åtgärdslista3[[#This Row],[Kolumn5]]/Åtgärdslista3[[#This Row],[Kolumn11]]),"-")</f>
        <v>13.67240907847963</v>
      </c>
      <c r="W32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0.318</v>
      </c>
    </row>
    <row r="33" spans="1:23" s="13" customFormat="1" ht="15.6" x14ac:dyDescent="0.3">
      <c r="A33"/>
      <c r="B33" s="25">
        <v>21</v>
      </c>
      <c r="C33" s="26" t="s">
        <v>78</v>
      </c>
      <c r="D33" s="26" t="s">
        <v>87</v>
      </c>
      <c r="E33" s="12" t="s">
        <v>90</v>
      </c>
      <c r="F33" s="20" t="s">
        <v>26</v>
      </c>
      <c r="G33" s="56">
        <v>38</v>
      </c>
      <c r="H33" s="56">
        <v>-12.7</v>
      </c>
      <c r="I33" s="56"/>
      <c r="J33" s="27"/>
      <c r="K33" s="27"/>
      <c r="L33" s="27"/>
      <c r="M33" s="27"/>
      <c r="N33" s="27"/>
      <c r="O33" s="27"/>
      <c r="P33" s="27"/>
      <c r="Q33" s="56"/>
      <c r="R33" s="159"/>
      <c r="S33" s="163">
        <v>170</v>
      </c>
      <c r="T33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12.249999999999998</v>
      </c>
      <c r="U33" s="47">
        <f t="shared" si="1"/>
        <v>170</v>
      </c>
      <c r="V33" s="45">
        <f>IFERROR(IF(Åtgärdslista3[[#This Row],[Kolumn5]]/Åtgärdslista3[[#This Row],[Kolumn11]]&lt;0,"-",Åtgärdslista3[[#This Row],[Kolumn5]]/Åtgärdslista3[[#This Row],[Kolumn11]]),"-")</f>
        <v>13.877551020408164</v>
      </c>
      <c r="W33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0.6925</v>
      </c>
    </row>
    <row r="34" spans="1:23" s="13" customFormat="1" ht="15.6" x14ac:dyDescent="0.3">
      <c r="A34"/>
      <c r="B34" s="25">
        <v>22</v>
      </c>
      <c r="C34" s="26" t="s">
        <v>79</v>
      </c>
      <c r="D34" s="26" t="s">
        <v>70</v>
      </c>
      <c r="E34" s="12" t="s">
        <v>70</v>
      </c>
      <c r="F34" s="20" t="s">
        <v>26</v>
      </c>
      <c r="G34" s="56">
        <v>0.2</v>
      </c>
      <c r="H34" s="56"/>
      <c r="I34" s="56"/>
      <c r="J34" s="27"/>
      <c r="K34" s="27"/>
      <c r="L34" s="27"/>
      <c r="M34" s="27"/>
      <c r="N34" s="27"/>
      <c r="O34" s="27"/>
      <c r="P34" s="27"/>
      <c r="Q34" s="56">
        <v>62.8</v>
      </c>
      <c r="R34" s="159"/>
      <c r="S34" s="163">
        <v>4</v>
      </c>
      <c r="T34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1.3939999999999999</v>
      </c>
      <c r="U34" s="47">
        <f t="shared" si="1"/>
        <v>4</v>
      </c>
      <c r="V34" s="45">
        <f>IFERROR(IF(Åtgärdslista3[[#This Row],[Kolumn5]]/Åtgärdslista3[[#This Row],[Kolumn11]]&lt;0,"-",Åtgärdslista3[[#This Row],[Kolumn5]]/Åtgärdslista3[[#This Row],[Kolumn11]]),"-")</f>
        <v>2.8694404591104736</v>
      </c>
      <c r="W34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1.2E-2</v>
      </c>
    </row>
    <row r="35" spans="1:23" s="13" customFormat="1" ht="28.8" x14ac:dyDescent="0.3">
      <c r="A35"/>
      <c r="B35" s="25">
        <v>23</v>
      </c>
      <c r="C35" s="26" t="s">
        <v>79</v>
      </c>
      <c r="D35" s="26" t="s">
        <v>86</v>
      </c>
      <c r="E35" s="12" t="s">
        <v>89</v>
      </c>
      <c r="F35" s="20" t="s">
        <v>26</v>
      </c>
      <c r="G35" s="56">
        <v>19</v>
      </c>
      <c r="H35" s="56"/>
      <c r="I35" s="56"/>
      <c r="J35" s="27"/>
      <c r="K35" s="27"/>
      <c r="L35" s="27"/>
      <c r="M35" s="27"/>
      <c r="N35" s="27"/>
      <c r="O35" s="27"/>
      <c r="P35" s="27"/>
      <c r="Q35" s="56"/>
      <c r="R35" s="159"/>
      <c r="S35" s="163">
        <v>60</v>
      </c>
      <c r="T35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13.11</v>
      </c>
      <c r="U35" s="47">
        <f t="shared" si="1"/>
        <v>60</v>
      </c>
      <c r="V35" s="45">
        <f>IFERROR(IF(Åtgärdslista3[[#This Row],[Kolumn5]]/Åtgärdslista3[[#This Row],[Kolumn11]]&lt;0,"-",Åtgärdslista3[[#This Row],[Kolumn5]]/Åtgärdslista3[[#This Row],[Kolumn11]]),"-")</f>
        <v>4.5766590389016022</v>
      </c>
      <c r="W35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1.1399999999999999</v>
      </c>
    </row>
    <row r="36" spans="1:23" s="13" customFormat="1" ht="15.6" x14ac:dyDescent="0.3">
      <c r="A36"/>
      <c r="B36" s="25">
        <v>24</v>
      </c>
      <c r="C36" s="26" t="s">
        <v>79</v>
      </c>
      <c r="D36" s="26" t="s">
        <v>87</v>
      </c>
      <c r="E36" s="12" t="s">
        <v>102</v>
      </c>
      <c r="F36" s="20" t="s">
        <v>26</v>
      </c>
      <c r="G36" s="56"/>
      <c r="H36" s="56"/>
      <c r="I36" s="56"/>
      <c r="J36" s="27"/>
      <c r="K36" s="27"/>
      <c r="L36" s="27"/>
      <c r="M36" s="27"/>
      <c r="N36" s="27"/>
      <c r="O36" s="27"/>
      <c r="P36" s="27"/>
      <c r="Q36" s="56"/>
      <c r="R36" s="159"/>
      <c r="S36" s="163">
        <v>300</v>
      </c>
      <c r="T36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0</v>
      </c>
      <c r="U36" s="47">
        <f t="shared" si="1"/>
        <v>300</v>
      </c>
      <c r="V36" s="45" t="str">
        <f>IFERROR(IF(Åtgärdslista3[[#This Row],[Kolumn5]]/Åtgärdslista3[[#This Row],[Kolumn11]]&lt;0,"-",Åtgärdslista3[[#This Row],[Kolumn5]]/Åtgärdslista3[[#This Row],[Kolumn11]]),"-")</f>
        <v>-</v>
      </c>
      <c r="W36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</v>
      </c>
    </row>
    <row r="37" spans="1:23" s="13" customFormat="1" ht="15.6" x14ac:dyDescent="0.3">
      <c r="A37"/>
      <c r="B37" s="25">
        <v>25</v>
      </c>
      <c r="C37" s="26" t="s">
        <v>79</v>
      </c>
      <c r="D37" s="26" t="s">
        <v>88</v>
      </c>
      <c r="E37" s="12" t="s">
        <v>103</v>
      </c>
      <c r="F37" s="20" t="s">
        <v>26</v>
      </c>
      <c r="G37" s="56">
        <v>33.700000000000003</v>
      </c>
      <c r="H37" s="56">
        <v>-1.6</v>
      </c>
      <c r="I37" s="56"/>
      <c r="J37" s="27"/>
      <c r="K37" s="27"/>
      <c r="L37" s="27"/>
      <c r="M37" s="27"/>
      <c r="N37" s="27"/>
      <c r="O37" s="27"/>
      <c r="P37" s="27"/>
      <c r="Q37" s="56"/>
      <c r="R37" s="159"/>
      <c r="S37" s="163">
        <v>250</v>
      </c>
      <c r="T37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21.492999999999999</v>
      </c>
      <c r="U37" s="47">
        <f t="shared" si="1"/>
        <v>250</v>
      </c>
      <c r="V37" s="45">
        <f>IFERROR(IF(Åtgärdslista3[[#This Row],[Kolumn5]]/Åtgärdslista3[[#This Row],[Kolumn11]]&lt;0,"-",Åtgärdslista3[[#This Row],[Kolumn5]]/Åtgärdslista3[[#This Row],[Kolumn11]]),"-")</f>
        <v>11.631694039919974</v>
      </c>
      <c r="W37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1.8220000000000003</v>
      </c>
    </row>
    <row r="38" spans="1:23" s="13" customFormat="1" ht="15.6" x14ac:dyDescent="0.3">
      <c r="A38"/>
      <c r="B38" s="25">
        <v>26</v>
      </c>
      <c r="C38" s="26" t="s">
        <v>80</v>
      </c>
      <c r="D38" s="26" t="s">
        <v>70</v>
      </c>
      <c r="E38" s="12" t="s">
        <v>70</v>
      </c>
      <c r="F38" s="20" t="s">
        <v>26</v>
      </c>
      <c r="G38" s="56">
        <v>0.9</v>
      </c>
      <c r="H38" s="56"/>
      <c r="I38" s="56"/>
      <c r="J38" s="27"/>
      <c r="K38" s="27"/>
      <c r="L38" s="27"/>
      <c r="M38" s="27"/>
      <c r="N38" s="27"/>
      <c r="O38" s="27"/>
      <c r="P38" s="27"/>
      <c r="Q38" s="56">
        <v>255</v>
      </c>
      <c r="R38" s="159"/>
      <c r="S38" s="163">
        <v>8</v>
      </c>
      <c r="T38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5.7210000000000001</v>
      </c>
      <c r="U38" s="47">
        <f t="shared" si="1"/>
        <v>8</v>
      </c>
      <c r="V38" s="45">
        <f>IFERROR(IF(Åtgärdslista3[[#This Row],[Kolumn5]]/Åtgärdslista3[[#This Row],[Kolumn11]]&lt;0,"-",Åtgärdslista3[[#This Row],[Kolumn5]]/Åtgärdslista3[[#This Row],[Kolumn11]]),"-")</f>
        <v>1.3983569306065373</v>
      </c>
      <c r="W38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5.3999999999999999E-2</v>
      </c>
    </row>
    <row r="39" spans="1:23" s="13" customFormat="1" ht="28.8" x14ac:dyDescent="0.3">
      <c r="A39"/>
      <c r="B39" s="25">
        <v>27</v>
      </c>
      <c r="C39" s="26" t="s">
        <v>80</v>
      </c>
      <c r="D39" s="26" t="s">
        <v>86</v>
      </c>
      <c r="E39" s="12" t="s">
        <v>89</v>
      </c>
      <c r="F39" s="20" t="s">
        <v>26</v>
      </c>
      <c r="G39" s="56">
        <v>9.6</v>
      </c>
      <c r="H39" s="56"/>
      <c r="I39" s="56"/>
      <c r="J39" s="27"/>
      <c r="K39" s="27"/>
      <c r="L39" s="27"/>
      <c r="M39" s="27"/>
      <c r="N39" s="27"/>
      <c r="O39" s="27"/>
      <c r="P39" s="27"/>
      <c r="Q39" s="56"/>
      <c r="R39" s="159"/>
      <c r="S39" s="163">
        <v>60</v>
      </c>
      <c r="T39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6.6239999999999997</v>
      </c>
      <c r="U39" s="47">
        <f t="shared" si="1"/>
        <v>60</v>
      </c>
      <c r="V39" s="45">
        <f>IFERROR(IF(Åtgärdslista3[[#This Row],[Kolumn5]]/Åtgärdslista3[[#This Row],[Kolumn11]]&lt;0,"-",Åtgärdslista3[[#This Row],[Kolumn5]]/Åtgärdslista3[[#This Row],[Kolumn11]]),"-")</f>
        <v>9.0579710144927539</v>
      </c>
      <c r="W39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0.57599999999999996</v>
      </c>
    </row>
    <row r="40" spans="1:23" s="13" customFormat="1" ht="15.6" x14ac:dyDescent="0.3">
      <c r="A40"/>
      <c r="B40" s="25">
        <v>28</v>
      </c>
      <c r="C40" s="26" t="s">
        <v>80</v>
      </c>
      <c r="D40" s="26" t="s">
        <v>87</v>
      </c>
      <c r="E40" s="12" t="s">
        <v>90</v>
      </c>
      <c r="F40" s="20" t="s">
        <v>26</v>
      </c>
      <c r="G40" s="56">
        <v>62.4</v>
      </c>
      <c r="H40" s="56">
        <v>-20.8</v>
      </c>
      <c r="I40" s="56"/>
      <c r="J40" s="27"/>
      <c r="K40" s="27"/>
      <c r="L40" s="27"/>
      <c r="M40" s="27"/>
      <c r="N40" s="27"/>
      <c r="O40" s="27"/>
      <c r="P40" s="27"/>
      <c r="Q40" s="56"/>
      <c r="R40" s="159"/>
      <c r="S40" s="163">
        <v>250</v>
      </c>
      <c r="T40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20.175999999999995</v>
      </c>
      <c r="U40" s="47">
        <f t="shared" si="1"/>
        <v>250</v>
      </c>
      <c r="V40" s="45">
        <f>IFERROR(IF(Åtgärdslista3[[#This Row],[Kolumn5]]/Åtgärdslista3[[#This Row],[Kolumn11]]&lt;0,"-",Åtgärdslista3[[#This Row],[Kolumn5]]/Åtgärdslista3[[#This Row],[Kolumn11]]),"-")</f>
        <v>12.390959555908013</v>
      </c>
      <c r="W40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1.1439999999999999</v>
      </c>
    </row>
    <row r="41" spans="1:23" s="13" customFormat="1" ht="15.6" x14ac:dyDescent="0.3">
      <c r="A41"/>
      <c r="B41" s="25">
        <v>29</v>
      </c>
      <c r="C41" s="26" t="s">
        <v>75</v>
      </c>
      <c r="D41" s="26" t="s">
        <v>87</v>
      </c>
      <c r="E41" s="12" t="s">
        <v>90</v>
      </c>
      <c r="F41" s="20" t="s">
        <v>26</v>
      </c>
      <c r="G41" s="56">
        <v>606</v>
      </c>
      <c r="H41" s="56">
        <v>-202</v>
      </c>
      <c r="I41" s="56"/>
      <c r="J41" s="27"/>
      <c r="K41" s="27"/>
      <c r="L41" s="27"/>
      <c r="M41" s="27"/>
      <c r="N41" s="27"/>
      <c r="O41" s="27"/>
      <c r="P41" s="27"/>
      <c r="Q41" s="56"/>
      <c r="R41" s="159"/>
      <c r="S41" s="163">
        <v>1700</v>
      </c>
      <c r="T41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195.93999999999997</v>
      </c>
      <c r="U41" s="47">
        <f t="shared" si="1"/>
        <v>1700</v>
      </c>
      <c r="V41" s="45">
        <f>IFERROR(IF(Åtgärdslista3[[#This Row],[Kolumn5]]/Åtgärdslista3[[#This Row],[Kolumn11]]&lt;0,"-",Åtgärdslista3[[#This Row],[Kolumn5]]/Åtgärdslista3[[#This Row],[Kolumn11]]),"-")</f>
        <v>8.6761253444932134</v>
      </c>
      <c r="W41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11.11</v>
      </c>
    </row>
    <row r="42" spans="1:23" s="13" customFormat="1" ht="15.6" x14ac:dyDescent="0.3">
      <c r="A42"/>
      <c r="B42" s="25">
        <v>30</v>
      </c>
      <c r="C42" s="26" t="s">
        <v>75</v>
      </c>
      <c r="D42" s="26" t="s">
        <v>70</v>
      </c>
      <c r="E42" s="12" t="s">
        <v>70</v>
      </c>
      <c r="F42" s="20" t="s">
        <v>26</v>
      </c>
      <c r="G42" s="56">
        <v>12.4</v>
      </c>
      <c r="H42" s="56"/>
      <c r="I42" s="56"/>
      <c r="J42" s="27"/>
      <c r="K42" s="27"/>
      <c r="L42" s="27"/>
      <c r="M42" s="27"/>
      <c r="N42" s="27"/>
      <c r="O42" s="27"/>
      <c r="P42" s="27"/>
      <c r="Q42" s="56">
        <v>0</v>
      </c>
      <c r="R42" s="159"/>
      <c r="S42" s="163">
        <v>125.60000000000001</v>
      </c>
      <c r="T42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8.5559999999999992</v>
      </c>
      <c r="U42" s="47">
        <f t="shared" si="1"/>
        <v>125.60000000000001</v>
      </c>
      <c r="V42" s="45">
        <f>IFERROR(IF(Åtgärdslista3[[#This Row],[Kolumn5]]/Åtgärdslista3[[#This Row],[Kolumn11]]&lt;0,"-",Åtgärdslista3[[#This Row],[Kolumn5]]/Åtgärdslista3[[#This Row],[Kolumn11]]),"-")</f>
        <v>14.679756895745678</v>
      </c>
      <c r="W42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0.74399999999999999</v>
      </c>
    </row>
    <row r="43" spans="1:23" s="13" customFormat="1" ht="15.6" x14ac:dyDescent="0.3">
      <c r="A43"/>
      <c r="B43" s="25">
        <v>31</v>
      </c>
      <c r="C43" s="26" t="s">
        <v>74</v>
      </c>
      <c r="D43" s="26" t="s">
        <v>70</v>
      </c>
      <c r="E43" s="12" t="s">
        <v>70</v>
      </c>
      <c r="F43" s="20" t="s">
        <v>26</v>
      </c>
      <c r="G43" s="56">
        <v>1.1000000000000001</v>
      </c>
      <c r="H43" s="56"/>
      <c r="I43" s="56"/>
      <c r="J43" s="27"/>
      <c r="K43" s="27"/>
      <c r="L43" s="27"/>
      <c r="M43" s="27"/>
      <c r="N43" s="27"/>
      <c r="O43" s="27"/>
      <c r="P43" s="27"/>
      <c r="Q43" s="56">
        <v>0</v>
      </c>
      <c r="R43" s="159"/>
      <c r="S43" s="163">
        <v>12</v>
      </c>
      <c r="T43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0.75900000000000001</v>
      </c>
      <c r="U43" s="47">
        <f t="shared" si="1"/>
        <v>12</v>
      </c>
      <c r="V43" s="45">
        <f>IFERROR(IF(Åtgärdslista3[[#This Row],[Kolumn5]]/Åtgärdslista3[[#This Row],[Kolumn11]]&lt;0,"-",Åtgärdslista3[[#This Row],[Kolumn5]]/Åtgärdslista3[[#This Row],[Kolumn11]]),"-")</f>
        <v>15.810276679841897</v>
      </c>
      <c r="W43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6.6000000000000003E-2</v>
      </c>
    </row>
    <row r="44" spans="1:23" s="13" customFormat="1" ht="15.6" x14ac:dyDescent="0.3">
      <c r="A44"/>
      <c r="B44" s="25">
        <v>32</v>
      </c>
      <c r="C44" s="26" t="s">
        <v>81</v>
      </c>
      <c r="D44" s="26" t="s">
        <v>70</v>
      </c>
      <c r="E44" s="12" t="s">
        <v>70</v>
      </c>
      <c r="F44" s="20" t="s">
        <v>26</v>
      </c>
      <c r="G44" s="56">
        <v>1.4</v>
      </c>
      <c r="H44" s="56"/>
      <c r="I44" s="56"/>
      <c r="J44" s="27"/>
      <c r="K44" s="27"/>
      <c r="L44" s="27"/>
      <c r="M44" s="27"/>
      <c r="N44" s="27"/>
      <c r="O44" s="27"/>
      <c r="P44" s="27"/>
      <c r="Q44" s="56">
        <v>377</v>
      </c>
      <c r="R44" s="159"/>
      <c r="S44" s="163">
        <v>9.6000000000000014</v>
      </c>
      <c r="T44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8.5060000000000002</v>
      </c>
      <c r="U44" s="47">
        <f t="shared" si="1"/>
        <v>9.6000000000000014</v>
      </c>
      <c r="V44" s="45">
        <f>IFERROR(IF(Åtgärdslista3[[#This Row],[Kolumn5]]/Åtgärdslista3[[#This Row],[Kolumn11]]&lt;0,"-",Åtgärdslista3[[#This Row],[Kolumn5]]/Åtgärdslista3[[#This Row],[Kolumn11]]),"-")</f>
        <v>1.1286150952268987</v>
      </c>
      <c r="W44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8.4000000000000005E-2</v>
      </c>
    </row>
    <row r="45" spans="1:23" s="13" customFormat="1" ht="28.8" x14ac:dyDescent="0.3">
      <c r="A45"/>
      <c r="B45" s="25">
        <v>33</v>
      </c>
      <c r="C45" s="26" t="s">
        <v>81</v>
      </c>
      <c r="D45" s="26" t="s">
        <v>86</v>
      </c>
      <c r="E45" s="12" t="s">
        <v>89</v>
      </c>
      <c r="F45" s="20" t="s">
        <v>26</v>
      </c>
      <c r="G45" s="56">
        <v>10.7</v>
      </c>
      <c r="H45" s="56"/>
      <c r="I45" s="56"/>
      <c r="J45" s="27"/>
      <c r="K45" s="27"/>
      <c r="L45" s="27"/>
      <c r="M45" s="27"/>
      <c r="N45" s="27"/>
      <c r="O45" s="27"/>
      <c r="P45" s="27"/>
      <c r="Q45" s="56"/>
      <c r="R45" s="159"/>
      <c r="S45" s="163">
        <v>60</v>
      </c>
      <c r="T45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7.3829999999999991</v>
      </c>
      <c r="U45" s="47">
        <f t="shared" ref="U45:U58" si="2">IF(AND(F45="Ja",S45&lt;&gt;0),S45,"-")</f>
        <v>60</v>
      </c>
      <c r="V45" s="45">
        <f>IFERROR(IF(Åtgärdslista3[[#This Row],[Kolumn5]]/Åtgärdslista3[[#This Row],[Kolumn11]]&lt;0,"-",Åtgärdslista3[[#This Row],[Kolumn5]]/Åtgärdslista3[[#This Row],[Kolumn11]]),"-")</f>
        <v>8.126777732629014</v>
      </c>
      <c r="W45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0.64200000000000002</v>
      </c>
    </row>
    <row r="46" spans="1:23" s="13" customFormat="1" ht="15.6" x14ac:dyDescent="0.3">
      <c r="A46"/>
      <c r="B46" s="25">
        <v>34</v>
      </c>
      <c r="C46" s="26" t="s">
        <v>81</v>
      </c>
      <c r="D46" s="26" t="s">
        <v>87</v>
      </c>
      <c r="E46" s="12" t="s">
        <v>90</v>
      </c>
      <c r="F46" s="20" t="s">
        <v>26</v>
      </c>
      <c r="G46" s="56">
        <v>52.2</v>
      </c>
      <c r="H46" s="56">
        <v>-17</v>
      </c>
      <c r="I46" s="56"/>
      <c r="J46" s="27"/>
      <c r="K46" s="27"/>
      <c r="L46" s="27"/>
      <c r="M46" s="27"/>
      <c r="N46" s="27"/>
      <c r="O46" s="27"/>
      <c r="P46" s="27"/>
      <c r="Q46" s="56"/>
      <c r="R46" s="159"/>
      <c r="S46" s="163">
        <v>350</v>
      </c>
      <c r="T46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17.317999999999998</v>
      </c>
      <c r="U46" s="47">
        <f t="shared" si="2"/>
        <v>350</v>
      </c>
      <c r="V46" s="45">
        <f>IFERROR(IF(Åtgärdslista3[[#This Row],[Kolumn5]]/Åtgärdslista3[[#This Row],[Kolumn11]]&lt;0,"-",Åtgärdslista3[[#This Row],[Kolumn5]]/Åtgärdslista3[[#This Row],[Kolumn11]]),"-")</f>
        <v>20.210185933710594</v>
      </c>
      <c r="W46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1.0069999999999999</v>
      </c>
    </row>
    <row r="47" spans="1:23" s="13" customFormat="1" ht="15.6" x14ac:dyDescent="0.3">
      <c r="A47"/>
      <c r="B47" s="25">
        <v>35</v>
      </c>
      <c r="C47" s="26" t="s">
        <v>82</v>
      </c>
      <c r="D47" s="26" t="s">
        <v>70</v>
      </c>
      <c r="E47" s="12" t="s">
        <v>70</v>
      </c>
      <c r="F47" s="20" t="s">
        <v>26</v>
      </c>
      <c r="G47" s="56">
        <v>1</v>
      </c>
      <c r="H47" s="56"/>
      <c r="I47" s="56"/>
      <c r="J47" s="27"/>
      <c r="K47" s="27"/>
      <c r="L47" s="27"/>
      <c r="M47" s="27"/>
      <c r="N47" s="27"/>
      <c r="O47" s="27"/>
      <c r="P47" s="27"/>
      <c r="Q47" s="56">
        <v>278</v>
      </c>
      <c r="R47" s="159"/>
      <c r="S47" s="163">
        <v>13</v>
      </c>
      <c r="T47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6.25</v>
      </c>
      <c r="U47" s="47">
        <f t="shared" si="2"/>
        <v>13</v>
      </c>
      <c r="V47" s="45">
        <f>IFERROR(IF(Åtgärdslista3[[#This Row],[Kolumn5]]/Åtgärdslista3[[#This Row],[Kolumn11]]&lt;0,"-",Åtgärdslista3[[#This Row],[Kolumn5]]/Åtgärdslista3[[#This Row],[Kolumn11]]),"-")</f>
        <v>2.08</v>
      </c>
      <c r="W47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0.06</v>
      </c>
    </row>
    <row r="48" spans="1:23" s="13" customFormat="1" ht="28.8" x14ac:dyDescent="0.3">
      <c r="A48"/>
      <c r="B48" s="25">
        <v>36</v>
      </c>
      <c r="C48" s="26" t="s">
        <v>82</v>
      </c>
      <c r="D48" s="26" t="s">
        <v>86</v>
      </c>
      <c r="E48" s="12" t="s">
        <v>89</v>
      </c>
      <c r="F48" s="20" t="s">
        <v>26</v>
      </c>
      <c r="G48" s="56">
        <v>12</v>
      </c>
      <c r="H48" s="56"/>
      <c r="I48" s="56"/>
      <c r="J48" s="27"/>
      <c r="K48" s="27"/>
      <c r="L48" s="27"/>
      <c r="M48" s="27"/>
      <c r="N48" s="27"/>
      <c r="O48" s="27"/>
      <c r="P48" s="27"/>
      <c r="Q48" s="56"/>
      <c r="R48" s="159"/>
      <c r="S48" s="163">
        <v>50</v>
      </c>
      <c r="T48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8.2799999999999994</v>
      </c>
      <c r="U48" s="47">
        <f t="shared" si="2"/>
        <v>50</v>
      </c>
      <c r="V48" s="45">
        <f>IFERROR(IF(Åtgärdslista3[[#This Row],[Kolumn5]]/Åtgärdslista3[[#This Row],[Kolumn11]]&lt;0,"-",Åtgärdslista3[[#This Row],[Kolumn5]]/Åtgärdslista3[[#This Row],[Kolumn11]]),"-")</f>
        <v>6.0386473429951693</v>
      </c>
      <c r="W48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0.72</v>
      </c>
    </row>
    <row r="49" spans="1:23" s="13" customFormat="1" ht="15.6" x14ac:dyDescent="0.3">
      <c r="A49"/>
      <c r="B49" s="25">
        <v>37</v>
      </c>
      <c r="C49" s="26" t="s">
        <v>82</v>
      </c>
      <c r="D49" s="26" t="s">
        <v>87</v>
      </c>
      <c r="E49" s="12" t="s">
        <v>104</v>
      </c>
      <c r="F49" s="20" t="s">
        <v>26</v>
      </c>
      <c r="G49" s="56">
        <v>10</v>
      </c>
      <c r="H49" s="56"/>
      <c r="I49" s="56"/>
      <c r="J49" s="27"/>
      <c r="K49" s="27"/>
      <c r="L49" s="27"/>
      <c r="M49" s="27"/>
      <c r="N49" s="27"/>
      <c r="O49" s="27"/>
      <c r="P49" s="27"/>
      <c r="Q49" s="56"/>
      <c r="R49" s="159"/>
      <c r="S49" s="163">
        <v>100</v>
      </c>
      <c r="T49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6.8999999999999995</v>
      </c>
      <c r="U49" s="47">
        <f t="shared" si="2"/>
        <v>100</v>
      </c>
      <c r="V49" s="45">
        <f>IFERROR(IF(Åtgärdslista3[[#This Row],[Kolumn5]]/Åtgärdslista3[[#This Row],[Kolumn11]]&lt;0,"-",Åtgärdslista3[[#This Row],[Kolumn5]]/Åtgärdslista3[[#This Row],[Kolumn11]]),"-")</f>
        <v>14.492753623188406</v>
      </c>
      <c r="W49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0.6</v>
      </c>
    </row>
    <row r="50" spans="1:23" s="13" customFormat="1" ht="15.6" x14ac:dyDescent="0.3">
      <c r="A50"/>
      <c r="B50" s="25">
        <v>38</v>
      </c>
      <c r="C50" s="26" t="s">
        <v>82</v>
      </c>
      <c r="D50" s="26" t="s">
        <v>87</v>
      </c>
      <c r="E50" s="12" t="s">
        <v>105</v>
      </c>
      <c r="F50" s="20" t="s">
        <v>26</v>
      </c>
      <c r="G50" s="56"/>
      <c r="H50" s="56">
        <v>1</v>
      </c>
      <c r="I50" s="56"/>
      <c r="J50" s="27"/>
      <c r="K50" s="27"/>
      <c r="L50" s="27"/>
      <c r="M50" s="27"/>
      <c r="N50" s="27"/>
      <c r="O50" s="27"/>
      <c r="P50" s="27"/>
      <c r="Q50" s="56"/>
      <c r="R50" s="159"/>
      <c r="S50" s="163">
        <v>100</v>
      </c>
      <c r="T50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1.1000000000000001</v>
      </c>
      <c r="U50" s="47">
        <f t="shared" si="2"/>
        <v>100</v>
      </c>
      <c r="V50" s="45">
        <f>IFERROR(IF(Åtgärdslista3[[#This Row],[Kolumn5]]/Åtgärdslista3[[#This Row],[Kolumn11]]&lt;0,"-",Åtgärdslista3[[#This Row],[Kolumn5]]/Åtgärdslista3[[#This Row],[Kolumn11]]),"-")</f>
        <v>90.909090909090907</v>
      </c>
      <c r="W50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0.125</v>
      </c>
    </row>
    <row r="51" spans="1:23" s="13" customFormat="1" ht="15.6" x14ac:dyDescent="0.3">
      <c r="A51"/>
      <c r="B51" s="25">
        <v>39</v>
      </c>
      <c r="C51" s="26" t="s">
        <v>82</v>
      </c>
      <c r="D51" s="26" t="s">
        <v>87</v>
      </c>
      <c r="E51" s="12" t="s">
        <v>96</v>
      </c>
      <c r="F51" s="20" t="s">
        <v>26</v>
      </c>
      <c r="G51" s="56">
        <v>6.4</v>
      </c>
      <c r="H51" s="56"/>
      <c r="I51" s="56"/>
      <c r="J51" s="27"/>
      <c r="K51" s="27"/>
      <c r="L51" s="27"/>
      <c r="M51" s="27"/>
      <c r="N51" s="27"/>
      <c r="O51" s="27"/>
      <c r="P51" s="27"/>
      <c r="Q51" s="56"/>
      <c r="R51" s="159"/>
      <c r="S51" s="163">
        <v>40</v>
      </c>
      <c r="T51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4.4159999999999995</v>
      </c>
      <c r="U51" s="47">
        <f t="shared" si="2"/>
        <v>40</v>
      </c>
      <c r="V51" s="45">
        <f>IFERROR(IF(Åtgärdslista3[[#This Row],[Kolumn5]]/Åtgärdslista3[[#This Row],[Kolumn11]]&lt;0,"-",Åtgärdslista3[[#This Row],[Kolumn5]]/Åtgärdslista3[[#This Row],[Kolumn11]]),"-")</f>
        <v>9.0579710144927539</v>
      </c>
      <c r="W51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0.38400000000000001</v>
      </c>
    </row>
    <row r="52" spans="1:23" s="13" customFormat="1" ht="15.6" x14ac:dyDescent="0.3">
      <c r="A52"/>
      <c r="B52" s="25">
        <v>40</v>
      </c>
      <c r="C52" s="26" t="s">
        <v>83</v>
      </c>
      <c r="D52" s="26" t="s">
        <v>70</v>
      </c>
      <c r="E52" s="12" t="s">
        <v>70</v>
      </c>
      <c r="F52" s="20" t="s">
        <v>26</v>
      </c>
      <c r="G52" s="56">
        <v>0.8</v>
      </c>
      <c r="H52" s="56"/>
      <c r="I52" s="56"/>
      <c r="J52" s="27"/>
      <c r="K52" s="27"/>
      <c r="L52" s="27"/>
      <c r="M52" s="27"/>
      <c r="N52" s="27"/>
      <c r="O52" s="27"/>
      <c r="P52" s="27"/>
      <c r="Q52" s="56">
        <v>208</v>
      </c>
      <c r="R52" s="159"/>
      <c r="S52" s="163">
        <v>6.4</v>
      </c>
      <c r="T52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4.7119999999999997</v>
      </c>
      <c r="U52" s="47">
        <f t="shared" si="2"/>
        <v>6.4</v>
      </c>
      <c r="V52" s="45">
        <f>IFERROR(IF(Åtgärdslista3[[#This Row],[Kolumn5]]/Åtgärdslista3[[#This Row],[Kolumn11]]&lt;0,"-",Åtgärdslista3[[#This Row],[Kolumn5]]/Åtgärdslista3[[#This Row],[Kolumn11]]),"-")</f>
        <v>1.3582342954159594</v>
      </c>
      <c r="W52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4.8000000000000001E-2</v>
      </c>
    </row>
    <row r="53" spans="1:23" s="13" customFormat="1" ht="28.8" x14ac:dyDescent="0.3">
      <c r="A53"/>
      <c r="B53" s="25">
        <v>41</v>
      </c>
      <c r="C53" s="26" t="s">
        <v>83</v>
      </c>
      <c r="D53" s="26" t="s">
        <v>86</v>
      </c>
      <c r="E53" s="12" t="s">
        <v>89</v>
      </c>
      <c r="F53" s="20" t="s">
        <v>26</v>
      </c>
      <c r="G53" s="56">
        <v>3.9</v>
      </c>
      <c r="H53" s="56"/>
      <c r="I53" s="56"/>
      <c r="J53" s="27"/>
      <c r="K53" s="27"/>
      <c r="L53" s="27"/>
      <c r="M53" s="27"/>
      <c r="N53" s="27"/>
      <c r="O53" s="27"/>
      <c r="P53" s="27"/>
      <c r="Q53" s="56"/>
      <c r="R53" s="159"/>
      <c r="S53" s="163">
        <v>50</v>
      </c>
      <c r="T53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2.6909999999999998</v>
      </c>
      <c r="U53" s="47">
        <f t="shared" si="2"/>
        <v>50</v>
      </c>
      <c r="V53" s="45">
        <f>IFERROR(IF(Åtgärdslista3[[#This Row],[Kolumn5]]/Åtgärdslista3[[#This Row],[Kolumn11]]&lt;0,"-",Åtgärdslista3[[#This Row],[Kolumn5]]/Åtgärdslista3[[#This Row],[Kolumn11]]),"-")</f>
        <v>18.580453363062059</v>
      </c>
      <c r="W53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0.23400000000000001</v>
      </c>
    </row>
    <row r="54" spans="1:23" s="13" customFormat="1" ht="15.6" x14ac:dyDescent="0.3">
      <c r="A54"/>
      <c r="B54" s="25">
        <v>42</v>
      </c>
      <c r="C54" s="26" t="s">
        <v>83</v>
      </c>
      <c r="D54" s="26" t="s">
        <v>87</v>
      </c>
      <c r="E54" s="12" t="s">
        <v>90</v>
      </c>
      <c r="F54" s="20" t="s">
        <v>26</v>
      </c>
      <c r="G54" s="56">
        <v>30.3</v>
      </c>
      <c r="H54" s="56">
        <v>-10.1</v>
      </c>
      <c r="I54" s="56"/>
      <c r="J54" s="27"/>
      <c r="K54" s="27"/>
      <c r="L54" s="27"/>
      <c r="M54" s="27"/>
      <c r="N54" s="27"/>
      <c r="O54" s="27"/>
      <c r="P54" s="27"/>
      <c r="Q54" s="56"/>
      <c r="R54" s="159"/>
      <c r="S54" s="163">
        <v>150</v>
      </c>
      <c r="T54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9.7969999999999988</v>
      </c>
      <c r="U54" s="47">
        <f t="shared" si="2"/>
        <v>150</v>
      </c>
      <c r="V54" s="45">
        <f>IFERROR(IF(Åtgärdslista3[[#This Row],[Kolumn5]]/Åtgärdslista3[[#This Row],[Kolumn11]]&lt;0,"-",Åtgärdslista3[[#This Row],[Kolumn5]]/Åtgärdslista3[[#This Row],[Kolumn11]]),"-")</f>
        <v>15.310809431458612</v>
      </c>
      <c r="W54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0.55549999999999999</v>
      </c>
    </row>
    <row r="55" spans="1:23" s="13" customFormat="1" ht="15.6" x14ac:dyDescent="0.3">
      <c r="A55"/>
      <c r="B55" s="25">
        <v>43</v>
      </c>
      <c r="C55" s="26" t="s">
        <v>74</v>
      </c>
      <c r="D55" s="26" t="s">
        <v>87</v>
      </c>
      <c r="E55" s="12" t="s">
        <v>90</v>
      </c>
      <c r="F55" s="20" t="s">
        <v>26</v>
      </c>
      <c r="G55" s="56">
        <v>44</v>
      </c>
      <c r="H55" s="56">
        <v>-14.7</v>
      </c>
      <c r="I55" s="56"/>
      <c r="J55" s="27"/>
      <c r="K55" s="27"/>
      <c r="L55" s="27"/>
      <c r="M55" s="27"/>
      <c r="N55" s="27"/>
      <c r="O55" s="27"/>
      <c r="P55" s="27"/>
      <c r="Q55" s="56"/>
      <c r="R55" s="159"/>
      <c r="S55" s="163">
        <v>250</v>
      </c>
      <c r="T55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14.189999999999998</v>
      </c>
      <c r="U55" s="47">
        <f t="shared" si="2"/>
        <v>250</v>
      </c>
      <c r="V55" s="45">
        <f>IFERROR(IF(Åtgärdslista3[[#This Row],[Kolumn5]]/Åtgärdslista3[[#This Row],[Kolumn11]]&lt;0,"-",Åtgärdslista3[[#This Row],[Kolumn5]]/Åtgärdslista3[[#This Row],[Kolumn11]]),"-")</f>
        <v>17.618040873854831</v>
      </c>
      <c r="W55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0.80249999999999999</v>
      </c>
    </row>
    <row r="56" spans="1:23" s="13" customFormat="1" ht="15.6" x14ac:dyDescent="0.3">
      <c r="A56"/>
      <c r="B56" s="25">
        <v>44</v>
      </c>
      <c r="C56" s="26" t="s">
        <v>84</v>
      </c>
      <c r="D56" s="26" t="s">
        <v>70</v>
      </c>
      <c r="E56" s="12" t="s">
        <v>70</v>
      </c>
      <c r="F56" s="20" t="s">
        <v>26</v>
      </c>
      <c r="G56" s="56">
        <v>2.2000000000000002</v>
      </c>
      <c r="H56" s="56"/>
      <c r="I56" s="56"/>
      <c r="J56" s="27"/>
      <c r="K56" s="27"/>
      <c r="L56" s="27"/>
      <c r="M56" s="27"/>
      <c r="N56" s="27"/>
      <c r="O56" s="27"/>
      <c r="P56" s="27"/>
      <c r="Q56" s="56">
        <v>0</v>
      </c>
      <c r="R56" s="159"/>
      <c r="S56" s="163">
        <v>16</v>
      </c>
      <c r="T56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1.518</v>
      </c>
      <c r="U56" s="47">
        <f t="shared" si="2"/>
        <v>16</v>
      </c>
      <c r="V56" s="45">
        <f>IFERROR(IF(Åtgärdslista3[[#This Row],[Kolumn5]]/Åtgärdslista3[[#This Row],[Kolumn11]]&lt;0,"-",Åtgärdslista3[[#This Row],[Kolumn5]]/Åtgärdslista3[[#This Row],[Kolumn11]]),"-")</f>
        <v>10.540184453227932</v>
      </c>
      <c r="W56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0.13200000000000001</v>
      </c>
    </row>
    <row r="57" spans="1:23" s="13" customFormat="1" ht="15.6" x14ac:dyDescent="0.3">
      <c r="A57"/>
      <c r="B57" s="25">
        <v>45</v>
      </c>
      <c r="C57" s="26" t="s">
        <v>74</v>
      </c>
      <c r="D57" s="26" t="s">
        <v>87</v>
      </c>
      <c r="E57" s="12" t="s">
        <v>93</v>
      </c>
      <c r="F57" s="20" t="s">
        <v>26</v>
      </c>
      <c r="G57" s="56">
        <v>4.9000000000000004</v>
      </c>
      <c r="H57" s="56">
        <v>1</v>
      </c>
      <c r="I57" s="56"/>
      <c r="J57" s="27"/>
      <c r="K57" s="27"/>
      <c r="L57" s="27"/>
      <c r="M57" s="27"/>
      <c r="N57" s="27"/>
      <c r="O57" s="27"/>
      <c r="P57" s="27"/>
      <c r="Q57" s="56"/>
      <c r="R57" s="159"/>
      <c r="S57" s="163">
        <v>200</v>
      </c>
      <c r="T57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4.4809999999999999</v>
      </c>
      <c r="U57" s="47">
        <f t="shared" si="2"/>
        <v>200</v>
      </c>
      <c r="V57" s="45">
        <f>IFERROR(IF(Åtgärdslista3[[#This Row],[Kolumn5]]/Åtgärdslista3[[#This Row],[Kolumn11]]&lt;0,"-",Åtgärdslista3[[#This Row],[Kolumn5]]/Åtgärdslista3[[#This Row],[Kolumn11]]),"-")</f>
        <v>44.632894443204641</v>
      </c>
      <c r="W57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0.41899999999999998</v>
      </c>
    </row>
    <row r="58" spans="1:23" s="13" customFormat="1" ht="15.6" x14ac:dyDescent="0.3">
      <c r="A58"/>
      <c r="B58" s="25">
        <v>46</v>
      </c>
      <c r="C58" s="26" t="s">
        <v>84</v>
      </c>
      <c r="D58" s="26" t="s">
        <v>87</v>
      </c>
      <c r="E58" s="12" t="s">
        <v>93</v>
      </c>
      <c r="F58" s="20" t="s">
        <v>26</v>
      </c>
      <c r="G58" s="56">
        <v>10.3</v>
      </c>
      <c r="H58" s="56"/>
      <c r="I58" s="56"/>
      <c r="J58" s="27"/>
      <c r="K58" s="27"/>
      <c r="L58" s="27"/>
      <c r="M58" s="27"/>
      <c r="N58" s="27"/>
      <c r="O58" s="27"/>
      <c r="P58" s="27"/>
      <c r="Q58" s="56"/>
      <c r="R58" s="159"/>
      <c r="S58" s="163">
        <v>350</v>
      </c>
      <c r="T58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7.1070000000000002</v>
      </c>
      <c r="U58" s="47">
        <f t="shared" si="2"/>
        <v>350</v>
      </c>
      <c r="V58" s="45">
        <f>IFERROR(IF(Åtgärdslista3[[#This Row],[Kolumn5]]/Åtgärdslista3[[#This Row],[Kolumn11]]&lt;0,"-",Åtgärdslista3[[#This Row],[Kolumn5]]/Åtgärdslista3[[#This Row],[Kolumn11]]),"-")</f>
        <v>49.247221049669342</v>
      </c>
      <c r="W58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0.61799999999999999</v>
      </c>
    </row>
    <row r="59" spans="1:23" ht="15.6" x14ac:dyDescent="0.3">
      <c r="B59" s="25">
        <v>47</v>
      </c>
      <c r="C59" s="26" t="s">
        <v>84</v>
      </c>
      <c r="D59" s="26" t="s">
        <v>87</v>
      </c>
      <c r="E59" s="12" t="s">
        <v>106</v>
      </c>
      <c r="F59" s="20" t="s">
        <v>26</v>
      </c>
      <c r="G59" s="56">
        <v>0.5</v>
      </c>
      <c r="H59" s="56"/>
      <c r="I59" s="56"/>
      <c r="J59" s="27"/>
      <c r="K59" s="27"/>
      <c r="L59" s="27"/>
      <c r="M59" s="27"/>
      <c r="N59" s="27"/>
      <c r="O59" s="27"/>
      <c r="P59" s="27"/>
      <c r="Q59" s="56"/>
      <c r="R59" s="159"/>
      <c r="S59" s="163">
        <v>5</v>
      </c>
      <c r="T59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0.34499999999999997</v>
      </c>
      <c r="U59" s="47">
        <f t="shared" ref="U59:U65" si="3">IF(AND(F59="Ja",S59&lt;&gt;0),S59,"-")</f>
        <v>5</v>
      </c>
      <c r="V59" s="45">
        <f>IFERROR(IF(Åtgärdslista3[[#This Row],[Kolumn5]]/Åtgärdslista3[[#This Row],[Kolumn11]]&lt;0,"-",Åtgärdslista3[[#This Row],[Kolumn5]]/Åtgärdslista3[[#This Row],[Kolumn11]]),"-")</f>
        <v>14.492753623188406</v>
      </c>
      <c r="W59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0.03</v>
      </c>
    </row>
    <row r="60" spans="1:23" ht="15.6" x14ac:dyDescent="0.3">
      <c r="B60" s="25">
        <v>48</v>
      </c>
      <c r="C60" s="26" t="s">
        <v>85</v>
      </c>
      <c r="D60" s="26" t="s">
        <v>70</v>
      </c>
      <c r="E60" s="12" t="s">
        <v>70</v>
      </c>
      <c r="F60" s="20" t="s">
        <v>26</v>
      </c>
      <c r="G60" s="56">
        <v>0.2</v>
      </c>
      <c r="H60" s="56"/>
      <c r="I60" s="56"/>
      <c r="J60" s="27"/>
      <c r="K60" s="27"/>
      <c r="L60" s="27"/>
      <c r="M60" s="27"/>
      <c r="N60" s="27"/>
      <c r="O60" s="27"/>
      <c r="P60" s="27"/>
      <c r="Q60" s="56">
        <v>62</v>
      </c>
      <c r="R60" s="159"/>
      <c r="S60" s="163">
        <v>4</v>
      </c>
      <c r="T60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1.3779999999999999</v>
      </c>
      <c r="U60" s="47">
        <f t="shared" si="3"/>
        <v>4</v>
      </c>
      <c r="V60" s="45">
        <f>IFERROR(IF(Åtgärdslista3[[#This Row],[Kolumn5]]/Åtgärdslista3[[#This Row],[Kolumn11]]&lt;0,"-",Åtgärdslista3[[#This Row],[Kolumn5]]/Åtgärdslista3[[#This Row],[Kolumn11]]),"-")</f>
        <v>2.9027576197387521</v>
      </c>
      <c r="W60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1.2E-2</v>
      </c>
    </row>
    <row r="61" spans="1:23" ht="15.6" x14ac:dyDescent="0.3">
      <c r="B61" s="25">
        <v>49</v>
      </c>
      <c r="C61" s="26" t="s">
        <v>85</v>
      </c>
      <c r="D61" s="26" t="s">
        <v>89</v>
      </c>
      <c r="E61" s="12" t="s">
        <v>89</v>
      </c>
      <c r="F61" s="20" t="s">
        <v>26</v>
      </c>
      <c r="G61" s="56">
        <v>5.3</v>
      </c>
      <c r="H61" s="56"/>
      <c r="I61" s="56"/>
      <c r="J61" s="27"/>
      <c r="K61" s="27"/>
      <c r="L61" s="27"/>
      <c r="M61" s="27"/>
      <c r="N61" s="27"/>
      <c r="O61" s="27"/>
      <c r="P61" s="27"/>
      <c r="Q61" s="56"/>
      <c r="R61" s="159"/>
      <c r="S61" s="163">
        <v>50</v>
      </c>
      <c r="T61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3.6569999999999996</v>
      </c>
      <c r="U61" s="47">
        <f t="shared" si="3"/>
        <v>50</v>
      </c>
      <c r="V61" s="45">
        <f>IFERROR(IF(Åtgärdslista3[[#This Row],[Kolumn5]]/Åtgärdslista3[[#This Row],[Kolumn11]]&lt;0,"-",Åtgärdslista3[[#This Row],[Kolumn5]]/Åtgärdslista3[[#This Row],[Kolumn11]]),"-")</f>
        <v>13.67240907847963</v>
      </c>
      <c r="W61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0.318</v>
      </c>
    </row>
    <row r="62" spans="1:23" ht="15.6" x14ac:dyDescent="0.3">
      <c r="B62" s="25">
        <v>50</v>
      </c>
      <c r="C62" s="26"/>
      <c r="D62" s="26"/>
      <c r="E62" s="12"/>
      <c r="F62" s="20" t="s">
        <v>26</v>
      </c>
      <c r="G62" s="56"/>
      <c r="H62" s="56"/>
      <c r="I62" s="56"/>
      <c r="J62" s="27"/>
      <c r="K62" s="27"/>
      <c r="L62" s="27"/>
      <c r="M62" s="27"/>
      <c r="N62" s="27"/>
      <c r="O62" s="27"/>
      <c r="P62" s="27"/>
      <c r="Q62" s="56"/>
      <c r="R62" s="159"/>
      <c r="S62" s="163"/>
      <c r="T62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0</v>
      </c>
      <c r="U62" s="47" t="str">
        <f t="shared" si="3"/>
        <v>-</v>
      </c>
      <c r="V62" s="45" t="str">
        <f>IFERROR(IF(Åtgärdslista3[[#This Row],[Kolumn5]]/Åtgärdslista3[[#This Row],[Kolumn11]]&lt;0,"-",Åtgärdslista3[[#This Row],[Kolumn5]]/Åtgärdslista3[[#This Row],[Kolumn11]]),"-")</f>
        <v>-</v>
      </c>
      <c r="W62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</v>
      </c>
    </row>
    <row r="63" spans="1:23" ht="15.6" x14ac:dyDescent="0.3">
      <c r="B63" s="25">
        <v>51</v>
      </c>
      <c r="C63" s="26"/>
      <c r="D63" s="26"/>
      <c r="E63" s="12"/>
      <c r="F63" s="20" t="s">
        <v>26</v>
      </c>
      <c r="G63" s="56"/>
      <c r="H63" s="56"/>
      <c r="I63" s="56"/>
      <c r="J63" s="27"/>
      <c r="K63" s="27"/>
      <c r="L63" s="27"/>
      <c r="M63" s="27"/>
      <c r="N63" s="27"/>
      <c r="O63" s="27"/>
      <c r="P63" s="27"/>
      <c r="Q63" s="56"/>
      <c r="R63" s="159"/>
      <c r="S63" s="163"/>
      <c r="T63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0</v>
      </c>
      <c r="U63" s="47" t="str">
        <f t="shared" si="3"/>
        <v>-</v>
      </c>
      <c r="V63" s="45" t="str">
        <f>IFERROR(IF(Åtgärdslista3[[#This Row],[Kolumn5]]/Åtgärdslista3[[#This Row],[Kolumn11]]&lt;0,"-",Åtgärdslista3[[#This Row],[Kolumn5]]/Åtgärdslista3[[#This Row],[Kolumn11]]),"-")</f>
        <v>-</v>
      </c>
      <c r="W63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</v>
      </c>
    </row>
    <row r="64" spans="1:23" ht="15.6" x14ac:dyDescent="0.3">
      <c r="B64" s="25">
        <v>52</v>
      </c>
      <c r="C64" s="26"/>
      <c r="D64" s="26"/>
      <c r="E64" s="12"/>
      <c r="F64" s="20" t="s">
        <v>26</v>
      </c>
      <c r="G64" s="56"/>
      <c r="H64" s="56"/>
      <c r="I64" s="56"/>
      <c r="J64" s="27"/>
      <c r="K64" s="27"/>
      <c r="L64" s="27"/>
      <c r="M64" s="27"/>
      <c r="N64" s="27"/>
      <c r="O64" s="27"/>
      <c r="P64" s="27"/>
      <c r="Q64" s="56"/>
      <c r="R64" s="159"/>
      <c r="S64" s="163"/>
      <c r="T64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0</v>
      </c>
      <c r="U64" s="47" t="str">
        <f t="shared" si="3"/>
        <v>-</v>
      </c>
      <c r="V64" s="45" t="str">
        <f>IFERROR(IF(Åtgärdslista3[[#This Row],[Kolumn5]]/Åtgärdslista3[[#This Row],[Kolumn11]]&lt;0,"-",Åtgärdslista3[[#This Row],[Kolumn5]]/Åtgärdslista3[[#This Row],[Kolumn11]]),"-")</f>
        <v>-</v>
      </c>
      <c r="W64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</v>
      </c>
    </row>
    <row r="65" spans="2:23" ht="15.6" x14ac:dyDescent="0.3">
      <c r="B65" s="25">
        <v>53</v>
      </c>
      <c r="C65" s="26"/>
      <c r="D65" s="26"/>
      <c r="E65" s="12"/>
      <c r="F65" s="20" t="s">
        <v>26</v>
      </c>
      <c r="G65" s="56"/>
      <c r="H65" s="56"/>
      <c r="I65" s="56"/>
      <c r="J65" s="27"/>
      <c r="K65" s="27"/>
      <c r="L65" s="27"/>
      <c r="M65" s="27"/>
      <c r="N65" s="27"/>
      <c r="O65" s="27"/>
      <c r="P65" s="27"/>
      <c r="Q65" s="56"/>
      <c r="R65" s="159"/>
      <c r="S65" s="163"/>
      <c r="T65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0</v>
      </c>
      <c r="U65" s="47" t="str">
        <f t="shared" si="3"/>
        <v>-</v>
      </c>
      <c r="V65" s="45" t="str">
        <f>IFERROR(IF(Åtgärdslista3[[#This Row],[Kolumn5]]/Åtgärdslista3[[#This Row],[Kolumn11]]&lt;0,"-",Åtgärdslista3[[#This Row],[Kolumn5]]/Åtgärdslista3[[#This Row],[Kolumn11]]),"-")</f>
        <v>-</v>
      </c>
      <c r="W65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</v>
      </c>
    </row>
    <row r="66" spans="2:23" ht="15.6" x14ac:dyDescent="0.3">
      <c r="B66" s="25">
        <v>54</v>
      </c>
      <c r="C66" s="26"/>
      <c r="D66" s="26"/>
      <c r="E66" s="12"/>
      <c r="F66" s="20" t="s">
        <v>26</v>
      </c>
      <c r="G66" s="56"/>
      <c r="H66" s="56"/>
      <c r="I66" s="56"/>
      <c r="J66" s="27"/>
      <c r="K66" s="27"/>
      <c r="L66" s="27"/>
      <c r="M66" s="27"/>
      <c r="N66" s="27"/>
      <c r="O66" s="27"/>
      <c r="P66" s="27"/>
      <c r="Q66" s="56"/>
      <c r="R66" s="159"/>
      <c r="S66" s="163"/>
      <c r="T66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0</v>
      </c>
      <c r="U66" s="47" t="str">
        <f t="shared" ref="U66:U71" si="4">IF(AND(F66="Ja",S66&lt;&gt;0),S66,"-")</f>
        <v>-</v>
      </c>
      <c r="V66" s="45" t="str">
        <f>IFERROR(IF(Åtgärdslista3[[#This Row],[Kolumn5]]/Åtgärdslista3[[#This Row],[Kolumn11]]&lt;0,"-",Åtgärdslista3[[#This Row],[Kolumn5]]/Åtgärdslista3[[#This Row],[Kolumn11]]),"-")</f>
        <v>-</v>
      </c>
      <c r="W66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</v>
      </c>
    </row>
    <row r="67" spans="2:23" ht="15.6" x14ac:dyDescent="0.3">
      <c r="B67" s="25">
        <v>55</v>
      </c>
      <c r="C67" s="26"/>
      <c r="D67" s="26"/>
      <c r="E67" s="12"/>
      <c r="F67" s="20" t="s">
        <v>26</v>
      </c>
      <c r="G67" s="56"/>
      <c r="H67" s="56"/>
      <c r="I67" s="56"/>
      <c r="J67" s="27"/>
      <c r="K67" s="27"/>
      <c r="L67" s="27"/>
      <c r="M67" s="27"/>
      <c r="N67" s="27"/>
      <c r="O67" s="27"/>
      <c r="P67" s="27"/>
      <c r="Q67" s="56"/>
      <c r="R67" s="159"/>
      <c r="S67" s="163"/>
      <c r="T67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0</v>
      </c>
      <c r="U67" s="47" t="str">
        <f t="shared" si="4"/>
        <v>-</v>
      </c>
      <c r="V67" s="45" t="str">
        <f>IFERROR(IF(Åtgärdslista3[[#This Row],[Kolumn5]]/Åtgärdslista3[[#This Row],[Kolumn11]]&lt;0,"-",Åtgärdslista3[[#This Row],[Kolumn5]]/Åtgärdslista3[[#This Row],[Kolumn11]]),"-")</f>
        <v>-</v>
      </c>
      <c r="W67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</v>
      </c>
    </row>
    <row r="68" spans="2:23" ht="15.6" x14ac:dyDescent="0.3">
      <c r="B68" s="25">
        <v>56</v>
      </c>
      <c r="C68" s="26"/>
      <c r="D68" s="26"/>
      <c r="E68" s="12"/>
      <c r="F68" s="20" t="s">
        <v>26</v>
      </c>
      <c r="G68" s="56"/>
      <c r="H68" s="56"/>
      <c r="I68" s="56"/>
      <c r="J68" s="27"/>
      <c r="K68" s="27"/>
      <c r="L68" s="27"/>
      <c r="M68" s="27"/>
      <c r="N68" s="27"/>
      <c r="O68" s="27"/>
      <c r="P68" s="27"/>
      <c r="Q68" s="56"/>
      <c r="R68" s="159"/>
      <c r="S68" s="163"/>
      <c r="T68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0</v>
      </c>
      <c r="U68" s="47" t="str">
        <f t="shared" si="4"/>
        <v>-</v>
      </c>
      <c r="V68" s="45" t="str">
        <f>IFERROR(IF(Åtgärdslista3[[#This Row],[Kolumn5]]/Åtgärdslista3[[#This Row],[Kolumn11]]&lt;0,"-",Åtgärdslista3[[#This Row],[Kolumn5]]/Åtgärdslista3[[#This Row],[Kolumn11]]),"-")</f>
        <v>-</v>
      </c>
      <c r="W68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</v>
      </c>
    </row>
    <row r="69" spans="2:23" ht="15.6" x14ac:dyDescent="0.3">
      <c r="B69" s="25">
        <v>57</v>
      </c>
      <c r="C69" s="26"/>
      <c r="D69" s="26"/>
      <c r="E69" s="12"/>
      <c r="F69" s="20" t="s">
        <v>26</v>
      </c>
      <c r="G69" s="56"/>
      <c r="H69" s="56"/>
      <c r="I69" s="56"/>
      <c r="J69" s="27"/>
      <c r="K69" s="27"/>
      <c r="L69" s="27"/>
      <c r="M69" s="27"/>
      <c r="N69" s="27"/>
      <c r="O69" s="27"/>
      <c r="P69" s="27"/>
      <c r="Q69" s="56"/>
      <c r="R69" s="159"/>
      <c r="S69" s="163"/>
      <c r="T69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0</v>
      </c>
      <c r="U69" s="47" t="str">
        <f t="shared" si="4"/>
        <v>-</v>
      </c>
      <c r="V69" s="45" t="str">
        <f>IFERROR(IF(Åtgärdslista3[[#This Row],[Kolumn5]]/Åtgärdslista3[[#This Row],[Kolumn11]]&lt;0,"-",Åtgärdslista3[[#This Row],[Kolumn5]]/Åtgärdslista3[[#This Row],[Kolumn11]]),"-")</f>
        <v>-</v>
      </c>
      <c r="W69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</v>
      </c>
    </row>
    <row r="70" spans="2:23" ht="15.6" x14ac:dyDescent="0.3">
      <c r="B70" s="25">
        <v>58</v>
      </c>
      <c r="C70" s="26"/>
      <c r="D70" s="26"/>
      <c r="E70" s="12"/>
      <c r="F70" s="20" t="s">
        <v>26</v>
      </c>
      <c r="G70" s="56"/>
      <c r="H70" s="56"/>
      <c r="I70" s="56"/>
      <c r="J70" s="27"/>
      <c r="K70" s="27"/>
      <c r="L70" s="27"/>
      <c r="M70" s="27"/>
      <c r="N70" s="27"/>
      <c r="O70" s="27"/>
      <c r="P70" s="27"/>
      <c r="Q70" s="56"/>
      <c r="R70" s="159"/>
      <c r="S70" s="163"/>
      <c r="T70" s="46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0</v>
      </c>
      <c r="U70" s="47" t="str">
        <f t="shared" si="4"/>
        <v>-</v>
      </c>
      <c r="V70" s="45" t="str">
        <f>IFERROR(IF(Åtgärdslista3[[#This Row],[Kolumn5]]/Åtgärdslista3[[#This Row],[Kolumn11]]&lt;0,"-",Åtgärdslista3[[#This Row],[Kolumn5]]/Åtgärdslista3[[#This Row],[Kolumn11]]),"-")</f>
        <v>-</v>
      </c>
      <c r="W70" s="45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</v>
      </c>
    </row>
    <row r="71" spans="2:23" ht="15.6" x14ac:dyDescent="0.3">
      <c r="B71" s="25">
        <v>59</v>
      </c>
      <c r="C71" s="26"/>
      <c r="D71" s="26"/>
      <c r="E71" s="49"/>
      <c r="F71" s="20" t="s">
        <v>26</v>
      </c>
      <c r="G71" s="56"/>
      <c r="H71" s="56"/>
      <c r="I71" s="56"/>
      <c r="J71" s="27"/>
      <c r="K71" s="27"/>
      <c r="L71" s="27"/>
      <c r="M71" s="27"/>
      <c r="N71" s="27"/>
      <c r="O71" s="27"/>
      <c r="P71" s="27"/>
      <c r="Q71" s="56"/>
      <c r="R71" s="159"/>
      <c r="S71" s="164"/>
      <c r="T71" s="50">
        <f>IF(Åtgärdslista3[[#This Row],[Kolumn42]]="ja",IFERROR(Åtgärdslista3[[#This Row],[Kolumn6]]*$G$6,0)+IFERROR(Åtgärdslista3[[#This Row],[Kolumn8]]*$H$6,0)+IFERROR(Åtgärdslista3[[#This Row],[Kolumn85]]*$I$6,0)+IFERROR(Åtgärdslista3[[#This Row],[Kolumn852]]*$J$6,0)+IFERROR(Åtgärdslista3[[#This Row],[Kolumn86]]*$K$6,0)+IFERROR(Åtgärdslista3[[#This Row],[Kolumn87]]*$L$6,0)+IFERROR(Åtgärdslista3[[#This Row],[Kolumn84]]*$M$6,0)+IFERROR(Åtgärdslista3[[#This Row],[Kolumn83]]*$N$6,0)+IFERROR(Åtgärdslista3[[#This Row],[Kolumn82]]*$O$6,0)+IFERROR(Åtgärdslista3[[#This Row],[Kolumn122]]*$P$6,0)+IFERROR(Åtgärdslista3[[#This Row],[Kolumn9]]*$Q$6,0)+Åtgärdslista3[[#This Row],[Kolumn10]],"-")</f>
        <v>0</v>
      </c>
      <c r="U71" s="51" t="str">
        <f t="shared" si="4"/>
        <v>-</v>
      </c>
      <c r="V71" s="52" t="str">
        <f>IFERROR(IF(Åtgärdslista3[[#This Row],[Kolumn5]]/Åtgärdslista3[[#This Row],[Kolumn11]]&lt;0,"-",Åtgärdslista3[[#This Row],[Kolumn5]]/Åtgärdslista3[[#This Row],[Kolumn11]]),"-")</f>
        <v>-</v>
      </c>
      <c r="W71" s="52">
        <f>IF(Åtgärdslista3[[#This Row],[Kolumn42]]="Ja",(IFERROR($G$7*Åtgärdslista3[[#This Row],[Kolumn6]],0)+IFERROR($H$7*Åtgärdslista3[[#This Row],[Kolumn8]],0)+IFERROR($I$7*Åtgärdslista3[[#This Row],[Kolumn85]],0)+IFERROR($J$7*Åtgärdslista3[[#This Row],[Kolumn852]],0))/1000,"-")</f>
        <v>0</v>
      </c>
    </row>
    <row r="72" spans="2:23" x14ac:dyDescent="0.3">
      <c r="Q72" s="10"/>
    </row>
    <row r="73" spans="2:23" x14ac:dyDescent="0.3">
      <c r="Q73" s="10"/>
    </row>
    <row r="74" spans="2:23" x14ac:dyDescent="0.3">
      <c r="Q74" s="10"/>
    </row>
    <row r="75" spans="2:23" x14ac:dyDescent="0.3">
      <c r="Q75" s="10"/>
    </row>
    <row r="76" spans="2:23" x14ac:dyDescent="0.3">
      <c r="Q76" s="10"/>
    </row>
    <row r="77" spans="2:23" x14ac:dyDescent="0.3">
      <c r="Q77" s="10"/>
    </row>
    <row r="78" spans="2:23" x14ac:dyDescent="0.3">
      <c r="Q78" s="10"/>
    </row>
    <row r="79" spans="2:23" x14ac:dyDescent="0.3">
      <c r="Q79" s="10"/>
    </row>
    <row r="80" spans="2:23" x14ac:dyDescent="0.3">
      <c r="Q80" s="10"/>
    </row>
    <row r="81" spans="17:17" x14ac:dyDescent="0.3">
      <c r="Q81" s="10"/>
    </row>
    <row r="82" spans="17:17" x14ac:dyDescent="0.3">
      <c r="Q82" s="10"/>
    </row>
    <row r="83" spans="17:17" x14ac:dyDescent="0.3">
      <c r="Q83" s="10"/>
    </row>
    <row r="84" spans="17:17" x14ac:dyDescent="0.3">
      <c r="Q84" s="10"/>
    </row>
    <row r="85" spans="17:17" x14ac:dyDescent="0.3">
      <c r="Q85" s="10"/>
    </row>
    <row r="86" spans="17:17" x14ac:dyDescent="0.3">
      <c r="Q86" s="10"/>
    </row>
    <row r="87" spans="17:17" x14ac:dyDescent="0.3">
      <c r="Q87" s="10"/>
    </row>
    <row r="88" spans="17:17" x14ac:dyDescent="0.3">
      <c r="Q88" s="10"/>
    </row>
    <row r="89" spans="17:17" x14ac:dyDescent="0.3">
      <c r="Q89" s="10"/>
    </row>
    <row r="90" spans="17:17" x14ac:dyDescent="0.3">
      <c r="Q90" s="10"/>
    </row>
    <row r="91" spans="17:17" x14ac:dyDescent="0.3">
      <c r="Q91" s="10"/>
    </row>
    <row r="92" spans="17:17" x14ac:dyDescent="0.3">
      <c r="Q92" s="10"/>
    </row>
    <row r="93" spans="17:17" x14ac:dyDescent="0.3">
      <c r="Q93" s="10"/>
    </row>
    <row r="94" spans="17:17" x14ac:dyDescent="0.3">
      <c r="Q94" s="10"/>
    </row>
    <row r="95" spans="17:17" x14ac:dyDescent="0.3">
      <c r="Q95" s="10"/>
    </row>
    <row r="96" spans="17:17" x14ac:dyDescent="0.3">
      <c r="Q96" s="10"/>
    </row>
    <row r="97" spans="17:17" x14ac:dyDescent="0.3">
      <c r="Q97" s="10"/>
    </row>
    <row r="98" spans="17:17" x14ac:dyDescent="0.3">
      <c r="Q98" s="10"/>
    </row>
    <row r="99" spans="17:17" x14ac:dyDescent="0.3">
      <c r="Q99" s="10"/>
    </row>
    <row r="100" spans="17:17" x14ac:dyDescent="0.3">
      <c r="Q100" s="10"/>
    </row>
    <row r="101" spans="17:17" x14ac:dyDescent="0.3">
      <c r="Q101" s="10"/>
    </row>
    <row r="102" spans="17:17" x14ac:dyDescent="0.3">
      <c r="Q102" s="10"/>
    </row>
    <row r="103" spans="17:17" x14ac:dyDescent="0.3">
      <c r="Q103" s="10"/>
    </row>
    <row r="104" spans="17:17" x14ac:dyDescent="0.3">
      <c r="Q104" s="10"/>
    </row>
    <row r="105" spans="17:17" x14ac:dyDescent="0.3">
      <c r="Q105" s="10"/>
    </row>
    <row r="106" spans="17:17" x14ac:dyDescent="0.3">
      <c r="Q106" s="10"/>
    </row>
    <row r="107" spans="17:17" x14ac:dyDescent="0.3">
      <c r="Q107" s="10"/>
    </row>
    <row r="108" spans="17:17" x14ac:dyDescent="0.3">
      <c r="Q108" s="10"/>
    </row>
    <row r="109" spans="17:17" x14ac:dyDescent="0.3">
      <c r="Q109" s="10"/>
    </row>
    <row r="110" spans="17:17" x14ac:dyDescent="0.3">
      <c r="Q110" s="10"/>
    </row>
    <row r="111" spans="17:17" x14ac:dyDescent="0.3">
      <c r="Q111" s="10"/>
    </row>
    <row r="112" spans="17:17" x14ac:dyDescent="0.3">
      <c r="Q112" s="10"/>
    </row>
    <row r="113" spans="17:17" x14ac:dyDescent="0.3">
      <c r="Q113" s="10"/>
    </row>
    <row r="114" spans="17:17" x14ac:dyDescent="0.3">
      <c r="Q114" s="10"/>
    </row>
    <row r="115" spans="17:17" x14ac:dyDescent="0.3">
      <c r="Q115" s="10"/>
    </row>
    <row r="116" spans="17:17" x14ac:dyDescent="0.3">
      <c r="Q116" s="10"/>
    </row>
    <row r="117" spans="17:17" x14ac:dyDescent="0.3">
      <c r="Q117" s="10"/>
    </row>
    <row r="118" spans="17:17" x14ac:dyDescent="0.3">
      <c r="Q118" s="10"/>
    </row>
    <row r="119" spans="17:17" x14ac:dyDescent="0.3">
      <c r="Q119" s="10"/>
    </row>
    <row r="120" spans="17:17" x14ac:dyDescent="0.3">
      <c r="Q120" s="10"/>
    </row>
    <row r="121" spans="17:17" x14ac:dyDescent="0.3">
      <c r="Q121" s="10"/>
    </row>
    <row r="122" spans="17:17" x14ac:dyDescent="0.3">
      <c r="Q122" s="10"/>
    </row>
    <row r="123" spans="17:17" x14ac:dyDescent="0.3">
      <c r="Q123" s="10"/>
    </row>
    <row r="124" spans="17:17" x14ac:dyDescent="0.3">
      <c r="Q124" s="10"/>
    </row>
    <row r="125" spans="17:17" x14ac:dyDescent="0.3">
      <c r="Q125" s="10"/>
    </row>
    <row r="126" spans="17:17" x14ac:dyDescent="0.3">
      <c r="Q126" s="10"/>
    </row>
    <row r="127" spans="17:17" x14ac:dyDescent="0.3">
      <c r="Q127" s="10"/>
    </row>
    <row r="128" spans="17:17" x14ac:dyDescent="0.3">
      <c r="Q128" s="10"/>
    </row>
    <row r="129" spans="17:17" x14ac:dyDescent="0.3">
      <c r="Q129" s="10"/>
    </row>
    <row r="130" spans="17:17" x14ac:dyDescent="0.3">
      <c r="Q130" s="10"/>
    </row>
    <row r="131" spans="17:17" x14ac:dyDescent="0.3">
      <c r="Q131" s="10"/>
    </row>
    <row r="132" spans="17:17" x14ac:dyDescent="0.3">
      <c r="Q132" s="10"/>
    </row>
    <row r="133" spans="17:17" x14ac:dyDescent="0.3">
      <c r="Q133" s="10"/>
    </row>
    <row r="134" spans="17:17" x14ac:dyDescent="0.3">
      <c r="Q134" s="10"/>
    </row>
    <row r="135" spans="17:17" x14ac:dyDescent="0.3">
      <c r="Q135" s="10"/>
    </row>
    <row r="136" spans="17:17" x14ac:dyDescent="0.3">
      <c r="Q136" s="10"/>
    </row>
    <row r="137" spans="17:17" x14ac:dyDescent="0.3">
      <c r="Q137" s="10"/>
    </row>
    <row r="138" spans="17:17" x14ac:dyDescent="0.3">
      <c r="Q138" s="10"/>
    </row>
    <row r="139" spans="17:17" x14ac:dyDescent="0.3">
      <c r="Q139" s="10"/>
    </row>
    <row r="140" spans="17:17" x14ac:dyDescent="0.3">
      <c r="Q140" s="10"/>
    </row>
    <row r="141" spans="17:17" x14ac:dyDescent="0.3">
      <c r="Q141" s="10"/>
    </row>
    <row r="142" spans="17:17" x14ac:dyDescent="0.3">
      <c r="Q142" s="10"/>
    </row>
    <row r="143" spans="17:17" x14ac:dyDescent="0.3">
      <c r="Q143" s="10"/>
    </row>
    <row r="144" spans="17:17" x14ac:dyDescent="0.3">
      <c r="Q144" s="10"/>
    </row>
    <row r="145" spans="17:17" x14ac:dyDescent="0.3">
      <c r="Q145" s="10"/>
    </row>
    <row r="146" spans="17:17" x14ac:dyDescent="0.3">
      <c r="Q146" s="10"/>
    </row>
    <row r="147" spans="17:17" x14ac:dyDescent="0.3">
      <c r="Q147" s="10"/>
    </row>
    <row r="148" spans="17:17" x14ac:dyDescent="0.3">
      <c r="Q148" s="10"/>
    </row>
    <row r="149" spans="17:17" x14ac:dyDescent="0.3">
      <c r="Q149" s="10"/>
    </row>
    <row r="150" spans="17:17" x14ac:dyDescent="0.3">
      <c r="Q150" s="10"/>
    </row>
    <row r="151" spans="17:17" x14ac:dyDescent="0.3">
      <c r="Q151" s="10"/>
    </row>
    <row r="152" spans="17:17" x14ac:dyDescent="0.3">
      <c r="Q152" s="10"/>
    </row>
    <row r="153" spans="17:17" x14ac:dyDescent="0.3">
      <c r="Q153" s="10"/>
    </row>
    <row r="154" spans="17:17" x14ac:dyDescent="0.3">
      <c r="Q154" s="10"/>
    </row>
    <row r="155" spans="17:17" x14ac:dyDescent="0.3">
      <c r="Q155" s="10"/>
    </row>
    <row r="156" spans="17:17" x14ac:dyDescent="0.3">
      <c r="Q156" s="10"/>
    </row>
    <row r="157" spans="17:17" x14ac:dyDescent="0.3">
      <c r="Q157" s="10"/>
    </row>
    <row r="158" spans="17:17" x14ac:dyDescent="0.3">
      <c r="Q158" s="10"/>
    </row>
    <row r="159" spans="17:17" x14ac:dyDescent="0.3">
      <c r="Q159" s="10"/>
    </row>
    <row r="160" spans="17:17" x14ac:dyDescent="0.3">
      <c r="Q160" s="10"/>
    </row>
    <row r="161" spans="17:17" x14ac:dyDescent="0.3">
      <c r="Q161" s="10"/>
    </row>
    <row r="162" spans="17:17" x14ac:dyDescent="0.3">
      <c r="Q162" s="10"/>
    </row>
    <row r="163" spans="17:17" x14ac:dyDescent="0.3">
      <c r="Q163" s="10"/>
    </row>
    <row r="164" spans="17:17" x14ac:dyDescent="0.3">
      <c r="Q164" s="10"/>
    </row>
    <row r="165" spans="17:17" x14ac:dyDescent="0.3">
      <c r="Q165" s="10"/>
    </row>
    <row r="166" spans="17:17" x14ac:dyDescent="0.3">
      <c r="Q166" s="10"/>
    </row>
    <row r="167" spans="17:17" x14ac:dyDescent="0.3">
      <c r="Q167" s="10"/>
    </row>
    <row r="168" spans="17:17" x14ac:dyDescent="0.3">
      <c r="Q168" s="10"/>
    </row>
    <row r="169" spans="17:17" x14ac:dyDescent="0.3">
      <c r="Q169" s="10"/>
    </row>
    <row r="170" spans="17:17" x14ac:dyDescent="0.3">
      <c r="Q170" s="10"/>
    </row>
    <row r="171" spans="17:17" x14ac:dyDescent="0.3">
      <c r="Q171" s="10"/>
    </row>
    <row r="172" spans="17:17" x14ac:dyDescent="0.3">
      <c r="Q172" s="10"/>
    </row>
    <row r="173" spans="17:17" x14ac:dyDescent="0.3">
      <c r="Q173" s="10"/>
    </row>
    <row r="174" spans="17:17" x14ac:dyDescent="0.3">
      <c r="Q174" s="10"/>
    </row>
    <row r="175" spans="17:17" x14ac:dyDescent="0.3">
      <c r="Q175" s="10"/>
    </row>
    <row r="176" spans="17:17" x14ac:dyDescent="0.3">
      <c r="Q176" s="10"/>
    </row>
    <row r="177" spans="17:17" x14ac:dyDescent="0.3">
      <c r="Q177" s="10"/>
    </row>
    <row r="178" spans="17:17" x14ac:dyDescent="0.3">
      <c r="Q178" s="10"/>
    </row>
    <row r="179" spans="17:17" x14ac:dyDescent="0.3">
      <c r="Q179" s="10"/>
    </row>
    <row r="180" spans="17:17" x14ac:dyDescent="0.3">
      <c r="Q180" s="10"/>
    </row>
    <row r="181" spans="17:17" x14ac:dyDescent="0.3">
      <c r="Q181" s="10"/>
    </row>
    <row r="182" spans="17:17" x14ac:dyDescent="0.3">
      <c r="Q182" s="10"/>
    </row>
    <row r="183" spans="17:17" x14ac:dyDescent="0.3">
      <c r="Q183" s="10"/>
    </row>
    <row r="184" spans="17:17" x14ac:dyDescent="0.3">
      <c r="Q184" s="10"/>
    </row>
    <row r="185" spans="17:17" x14ac:dyDescent="0.3">
      <c r="Q185" s="10"/>
    </row>
    <row r="186" spans="17:17" x14ac:dyDescent="0.3">
      <c r="Q186" s="10"/>
    </row>
    <row r="187" spans="17:17" x14ac:dyDescent="0.3">
      <c r="Q187" s="10"/>
    </row>
    <row r="188" spans="17:17" x14ac:dyDescent="0.3">
      <c r="Q188" s="10"/>
    </row>
    <row r="189" spans="17:17" x14ac:dyDescent="0.3">
      <c r="Q189" s="10"/>
    </row>
    <row r="190" spans="17:17" x14ac:dyDescent="0.3">
      <c r="Q190" s="10"/>
    </row>
    <row r="191" spans="17:17" x14ac:dyDescent="0.3">
      <c r="Q191" s="10"/>
    </row>
    <row r="192" spans="17:17" x14ac:dyDescent="0.3">
      <c r="Q192" s="10"/>
    </row>
    <row r="193" spans="17:17" x14ac:dyDescent="0.3">
      <c r="Q193" s="10"/>
    </row>
    <row r="194" spans="17:17" x14ac:dyDescent="0.3">
      <c r="Q194" s="10"/>
    </row>
    <row r="195" spans="17:17" x14ac:dyDescent="0.3">
      <c r="Q195" s="10"/>
    </row>
    <row r="196" spans="17:17" x14ac:dyDescent="0.3">
      <c r="Q196" s="10"/>
    </row>
    <row r="197" spans="17:17" x14ac:dyDescent="0.3">
      <c r="Q197" s="10"/>
    </row>
    <row r="198" spans="17:17" x14ac:dyDescent="0.3">
      <c r="Q198" s="10"/>
    </row>
    <row r="199" spans="17:17" x14ac:dyDescent="0.3">
      <c r="Q199" s="10"/>
    </row>
    <row r="200" spans="17:17" x14ac:dyDescent="0.3">
      <c r="Q200" s="10"/>
    </row>
    <row r="201" spans="17:17" x14ac:dyDescent="0.3">
      <c r="Q201" s="10"/>
    </row>
    <row r="202" spans="17:17" x14ac:dyDescent="0.3">
      <c r="Q202" s="10"/>
    </row>
    <row r="203" spans="17:17" x14ac:dyDescent="0.3">
      <c r="Q203" s="10"/>
    </row>
    <row r="204" spans="17:17" x14ac:dyDescent="0.3">
      <c r="Q204" s="10"/>
    </row>
    <row r="205" spans="17:17" x14ac:dyDescent="0.3">
      <c r="Q205" s="10"/>
    </row>
    <row r="206" spans="17:17" x14ac:dyDescent="0.3">
      <c r="Q206" s="10"/>
    </row>
    <row r="207" spans="17:17" x14ac:dyDescent="0.3">
      <c r="Q207" s="10"/>
    </row>
    <row r="208" spans="17:17" x14ac:dyDescent="0.3">
      <c r="Q208" s="10"/>
    </row>
    <row r="209" spans="17:17" x14ac:dyDescent="0.3">
      <c r="Q209" s="10"/>
    </row>
    <row r="210" spans="17:17" x14ac:dyDescent="0.3">
      <c r="Q210" s="10"/>
    </row>
    <row r="211" spans="17:17" x14ac:dyDescent="0.3">
      <c r="Q211" s="10"/>
    </row>
    <row r="212" spans="17:17" x14ac:dyDescent="0.3">
      <c r="Q212" s="10"/>
    </row>
    <row r="213" spans="17:17" x14ac:dyDescent="0.3">
      <c r="Q213" s="10"/>
    </row>
    <row r="214" spans="17:17" x14ac:dyDescent="0.3">
      <c r="Q214" s="10"/>
    </row>
    <row r="215" spans="17:17" x14ac:dyDescent="0.3">
      <c r="Q215" s="10"/>
    </row>
    <row r="216" spans="17:17" x14ac:dyDescent="0.3">
      <c r="Q216" s="10"/>
    </row>
    <row r="217" spans="17:17" x14ac:dyDescent="0.3">
      <c r="Q217" s="10"/>
    </row>
    <row r="218" spans="17:17" x14ac:dyDescent="0.3">
      <c r="Q218" s="10"/>
    </row>
    <row r="219" spans="17:17" x14ac:dyDescent="0.3">
      <c r="Q219" s="10"/>
    </row>
    <row r="220" spans="17:17" x14ac:dyDescent="0.3">
      <c r="Q220" s="10"/>
    </row>
    <row r="221" spans="17:17" x14ac:dyDescent="0.3">
      <c r="Q221" s="10"/>
    </row>
    <row r="222" spans="17:17" x14ac:dyDescent="0.3">
      <c r="Q222" s="10"/>
    </row>
    <row r="223" spans="17:17" x14ac:dyDescent="0.3">
      <c r="Q223" s="10"/>
    </row>
    <row r="224" spans="17:17" x14ac:dyDescent="0.3">
      <c r="Q224" s="10"/>
    </row>
    <row r="225" spans="17:17" x14ac:dyDescent="0.3">
      <c r="Q225" s="10"/>
    </row>
    <row r="226" spans="17:17" x14ac:dyDescent="0.3">
      <c r="Q226" s="10"/>
    </row>
    <row r="227" spans="17:17" x14ac:dyDescent="0.3">
      <c r="Q227" s="10"/>
    </row>
    <row r="228" spans="17:17" x14ac:dyDescent="0.3">
      <c r="Q228" s="10"/>
    </row>
    <row r="229" spans="17:17" x14ac:dyDescent="0.3">
      <c r="Q229" s="10"/>
    </row>
    <row r="230" spans="17:17" x14ac:dyDescent="0.3">
      <c r="Q230" s="10"/>
    </row>
    <row r="231" spans="17:17" x14ac:dyDescent="0.3">
      <c r="Q231" s="10"/>
    </row>
    <row r="232" spans="17:17" x14ac:dyDescent="0.3">
      <c r="Q232" s="10"/>
    </row>
    <row r="233" spans="17:17" x14ac:dyDescent="0.3">
      <c r="Q233" s="10"/>
    </row>
    <row r="234" spans="17:17" x14ac:dyDescent="0.3">
      <c r="Q234" s="10"/>
    </row>
    <row r="235" spans="17:17" x14ac:dyDescent="0.3">
      <c r="Q235" s="10"/>
    </row>
    <row r="236" spans="17:17" x14ac:dyDescent="0.3">
      <c r="Q236" s="10"/>
    </row>
    <row r="237" spans="17:17" x14ac:dyDescent="0.3">
      <c r="Q237" s="10"/>
    </row>
    <row r="238" spans="17:17" x14ac:dyDescent="0.3">
      <c r="Q238" s="10"/>
    </row>
    <row r="239" spans="17:17" x14ac:dyDescent="0.3">
      <c r="Q239" s="10"/>
    </row>
    <row r="240" spans="17:17" x14ac:dyDescent="0.3">
      <c r="Q240" s="10"/>
    </row>
    <row r="241" spans="17:17" x14ac:dyDescent="0.3">
      <c r="Q241" s="10"/>
    </row>
    <row r="242" spans="17:17" x14ac:dyDescent="0.3">
      <c r="Q242" s="10"/>
    </row>
    <row r="243" spans="17:17" x14ac:dyDescent="0.3">
      <c r="Q243" s="10"/>
    </row>
    <row r="244" spans="17:17" x14ac:dyDescent="0.3">
      <c r="Q244" s="10"/>
    </row>
    <row r="245" spans="17:17" x14ac:dyDescent="0.3">
      <c r="Q245" s="10"/>
    </row>
    <row r="246" spans="17:17" x14ac:dyDescent="0.3">
      <c r="Q246" s="10"/>
    </row>
    <row r="247" spans="17:17" x14ac:dyDescent="0.3">
      <c r="Q247" s="10"/>
    </row>
    <row r="248" spans="17:17" x14ac:dyDescent="0.3">
      <c r="Q248" s="10"/>
    </row>
    <row r="249" spans="17:17" x14ac:dyDescent="0.3">
      <c r="Q249" s="10"/>
    </row>
    <row r="250" spans="17:17" x14ac:dyDescent="0.3">
      <c r="Q250" s="10"/>
    </row>
    <row r="251" spans="17:17" x14ac:dyDescent="0.3">
      <c r="Q251" s="10"/>
    </row>
    <row r="252" spans="17:17" x14ac:dyDescent="0.3">
      <c r="Q252" s="10"/>
    </row>
    <row r="253" spans="17:17" x14ac:dyDescent="0.3">
      <c r="Q253" s="10"/>
    </row>
    <row r="254" spans="17:17" x14ac:dyDescent="0.3">
      <c r="Q254" s="10"/>
    </row>
    <row r="255" spans="17:17" x14ac:dyDescent="0.3">
      <c r="Q255" s="10"/>
    </row>
    <row r="256" spans="17:17" x14ac:dyDescent="0.3">
      <c r="Q256" s="10"/>
    </row>
    <row r="257" spans="17:17" x14ac:dyDescent="0.3">
      <c r="Q257" s="10"/>
    </row>
    <row r="258" spans="17:17" x14ac:dyDescent="0.3">
      <c r="Q258" s="10"/>
    </row>
    <row r="259" spans="17:17" x14ac:dyDescent="0.3">
      <c r="Q259" s="10"/>
    </row>
    <row r="260" spans="17:17" x14ac:dyDescent="0.3">
      <c r="Q260" s="10"/>
    </row>
    <row r="261" spans="17:17" x14ac:dyDescent="0.3">
      <c r="Q261" s="10"/>
    </row>
    <row r="262" spans="17:17" x14ac:dyDescent="0.3">
      <c r="Q262" s="10"/>
    </row>
    <row r="263" spans="17:17" x14ac:dyDescent="0.3">
      <c r="Q263" s="10"/>
    </row>
    <row r="264" spans="17:17" x14ac:dyDescent="0.3">
      <c r="Q264" s="10"/>
    </row>
    <row r="265" spans="17:17" x14ac:dyDescent="0.3">
      <c r="Q265" s="10"/>
    </row>
    <row r="266" spans="17:17" x14ac:dyDescent="0.3">
      <c r="Q266" s="10"/>
    </row>
    <row r="267" spans="17:17" x14ac:dyDescent="0.3">
      <c r="Q267" s="10"/>
    </row>
    <row r="268" spans="17:17" x14ac:dyDescent="0.3">
      <c r="Q268" s="10"/>
    </row>
    <row r="269" spans="17:17" x14ac:dyDescent="0.3">
      <c r="Q269" s="10"/>
    </row>
    <row r="270" spans="17:17" x14ac:dyDescent="0.3">
      <c r="Q270" s="10"/>
    </row>
    <row r="271" spans="17:17" x14ac:dyDescent="0.3">
      <c r="Q271" s="10"/>
    </row>
    <row r="272" spans="17:17" x14ac:dyDescent="0.3">
      <c r="Q272" s="10"/>
    </row>
    <row r="273" spans="17:17" x14ac:dyDescent="0.3">
      <c r="Q273" s="10"/>
    </row>
    <row r="274" spans="17:17" x14ac:dyDescent="0.3">
      <c r="Q274" s="10"/>
    </row>
    <row r="275" spans="17:17" x14ac:dyDescent="0.3">
      <c r="Q275" s="10"/>
    </row>
    <row r="276" spans="17:17" x14ac:dyDescent="0.3">
      <c r="Q276" s="10"/>
    </row>
    <row r="277" spans="17:17" x14ac:dyDescent="0.3">
      <c r="Q277" s="10"/>
    </row>
    <row r="278" spans="17:17" x14ac:dyDescent="0.3">
      <c r="Q278" s="10"/>
    </row>
    <row r="279" spans="17:17" x14ac:dyDescent="0.3">
      <c r="Q279" s="10"/>
    </row>
    <row r="280" spans="17:17" x14ac:dyDescent="0.3">
      <c r="Q280" s="10"/>
    </row>
    <row r="281" spans="17:17" x14ac:dyDescent="0.3">
      <c r="Q281" s="10"/>
    </row>
    <row r="282" spans="17:17" x14ac:dyDescent="0.3">
      <c r="Q282" s="10"/>
    </row>
    <row r="283" spans="17:17" x14ac:dyDescent="0.3">
      <c r="Q283" s="10"/>
    </row>
    <row r="284" spans="17:17" x14ac:dyDescent="0.3">
      <c r="Q284" s="10"/>
    </row>
    <row r="285" spans="17:17" x14ac:dyDescent="0.3">
      <c r="Q285" s="10"/>
    </row>
    <row r="286" spans="17:17" x14ac:dyDescent="0.3">
      <c r="Q286" s="10"/>
    </row>
    <row r="287" spans="17:17" x14ac:dyDescent="0.3">
      <c r="Q287" s="10"/>
    </row>
    <row r="288" spans="17:17" x14ac:dyDescent="0.3">
      <c r="Q288" s="10"/>
    </row>
    <row r="289" spans="17:17" x14ac:dyDescent="0.3">
      <c r="Q289" s="10"/>
    </row>
    <row r="290" spans="17:17" x14ac:dyDescent="0.3">
      <c r="Q290" s="10"/>
    </row>
    <row r="291" spans="17:17" x14ac:dyDescent="0.3">
      <c r="Q291" s="10"/>
    </row>
    <row r="292" spans="17:17" x14ac:dyDescent="0.3">
      <c r="Q292" s="10"/>
    </row>
    <row r="293" spans="17:17" x14ac:dyDescent="0.3">
      <c r="Q293" s="10"/>
    </row>
    <row r="294" spans="17:17" x14ac:dyDescent="0.3">
      <c r="Q294" s="10"/>
    </row>
    <row r="295" spans="17:17" x14ac:dyDescent="0.3">
      <c r="Q295" s="10"/>
    </row>
    <row r="296" spans="17:17" x14ac:dyDescent="0.3">
      <c r="Q296" s="10"/>
    </row>
    <row r="297" spans="17:17" x14ac:dyDescent="0.3">
      <c r="Q297" s="10"/>
    </row>
    <row r="298" spans="17:17" x14ac:dyDescent="0.3">
      <c r="Q298" s="10"/>
    </row>
    <row r="299" spans="17:17" x14ac:dyDescent="0.3">
      <c r="Q299" s="10"/>
    </row>
    <row r="300" spans="17:17" x14ac:dyDescent="0.3">
      <c r="Q300" s="10"/>
    </row>
    <row r="301" spans="17:17" x14ac:dyDescent="0.3">
      <c r="Q301" s="10"/>
    </row>
    <row r="302" spans="17:17" x14ac:dyDescent="0.3">
      <c r="Q302" s="10"/>
    </row>
    <row r="303" spans="17:17" x14ac:dyDescent="0.3">
      <c r="Q303" s="10"/>
    </row>
    <row r="304" spans="17:17" x14ac:dyDescent="0.3">
      <c r="Q304" s="10"/>
    </row>
    <row r="305" spans="17:17" x14ac:dyDescent="0.3">
      <c r="Q305" s="10"/>
    </row>
    <row r="306" spans="17:17" x14ac:dyDescent="0.3">
      <c r="Q306" s="10"/>
    </row>
    <row r="307" spans="17:17" x14ac:dyDescent="0.3">
      <c r="Q307" s="10"/>
    </row>
    <row r="308" spans="17:17" x14ac:dyDescent="0.3">
      <c r="Q308" s="10"/>
    </row>
    <row r="309" spans="17:17" x14ac:dyDescent="0.3">
      <c r="Q309" s="10"/>
    </row>
    <row r="310" spans="17:17" x14ac:dyDescent="0.3">
      <c r="Q310" s="10"/>
    </row>
    <row r="311" spans="17:17" x14ac:dyDescent="0.3">
      <c r="Q311" s="10"/>
    </row>
    <row r="312" spans="17:17" x14ac:dyDescent="0.3">
      <c r="Q312" s="10"/>
    </row>
    <row r="313" spans="17:17" x14ac:dyDescent="0.3">
      <c r="Q313" s="10"/>
    </row>
    <row r="314" spans="17:17" x14ac:dyDescent="0.3">
      <c r="Q314" s="10"/>
    </row>
    <row r="315" spans="17:17" x14ac:dyDescent="0.3">
      <c r="Q315" s="10"/>
    </row>
    <row r="316" spans="17:17" x14ac:dyDescent="0.3">
      <c r="Q316" s="10"/>
    </row>
    <row r="317" spans="17:17" x14ac:dyDescent="0.3">
      <c r="Q317" s="10"/>
    </row>
    <row r="318" spans="17:17" x14ac:dyDescent="0.3">
      <c r="Q318" s="10"/>
    </row>
    <row r="319" spans="17:17" x14ac:dyDescent="0.3">
      <c r="Q319" s="10"/>
    </row>
    <row r="320" spans="17:17" x14ac:dyDescent="0.3">
      <c r="Q320" s="10"/>
    </row>
    <row r="321" spans="17:17" x14ac:dyDescent="0.3">
      <c r="Q321" s="10"/>
    </row>
    <row r="322" spans="17:17" x14ac:dyDescent="0.3">
      <c r="Q322" s="10"/>
    </row>
    <row r="323" spans="17:17" x14ac:dyDescent="0.3">
      <c r="Q323" s="10"/>
    </row>
    <row r="324" spans="17:17" x14ac:dyDescent="0.3">
      <c r="Q324" s="10"/>
    </row>
    <row r="325" spans="17:17" x14ac:dyDescent="0.3">
      <c r="Q325" s="10"/>
    </row>
    <row r="326" spans="17:17" x14ac:dyDescent="0.3">
      <c r="Q326" s="10"/>
    </row>
    <row r="327" spans="17:17" x14ac:dyDescent="0.3">
      <c r="Q327" s="10"/>
    </row>
    <row r="328" spans="17:17" x14ac:dyDescent="0.3">
      <c r="Q328" s="10"/>
    </row>
    <row r="329" spans="17:17" x14ac:dyDescent="0.3">
      <c r="Q329" s="10"/>
    </row>
    <row r="330" spans="17:17" x14ac:dyDescent="0.3">
      <c r="Q330" s="10"/>
    </row>
    <row r="331" spans="17:17" x14ac:dyDescent="0.3">
      <c r="Q331" s="10"/>
    </row>
    <row r="332" spans="17:17" x14ac:dyDescent="0.3">
      <c r="Q332" s="10"/>
    </row>
    <row r="333" spans="17:17" x14ac:dyDescent="0.3">
      <c r="Q333" s="10"/>
    </row>
    <row r="334" spans="17:17" x14ac:dyDescent="0.3">
      <c r="Q334" s="10"/>
    </row>
    <row r="335" spans="17:17" x14ac:dyDescent="0.3">
      <c r="Q335" s="10"/>
    </row>
    <row r="336" spans="17:17" x14ac:dyDescent="0.3">
      <c r="Q336" s="10"/>
    </row>
    <row r="337" spans="17:17" x14ac:dyDescent="0.3">
      <c r="Q337" s="10"/>
    </row>
    <row r="338" spans="17:17" x14ac:dyDescent="0.3">
      <c r="Q338" s="10"/>
    </row>
    <row r="339" spans="17:17" x14ac:dyDescent="0.3">
      <c r="Q339" s="10"/>
    </row>
    <row r="340" spans="17:17" x14ac:dyDescent="0.3">
      <c r="Q340" s="10"/>
    </row>
    <row r="341" spans="17:17" x14ac:dyDescent="0.3">
      <c r="Q341" s="10"/>
    </row>
    <row r="342" spans="17:17" x14ac:dyDescent="0.3">
      <c r="Q342" s="10"/>
    </row>
    <row r="343" spans="17:17" x14ac:dyDescent="0.3">
      <c r="Q343" s="10"/>
    </row>
    <row r="344" spans="17:17" x14ac:dyDescent="0.3">
      <c r="Q344" s="10"/>
    </row>
    <row r="345" spans="17:17" x14ac:dyDescent="0.3">
      <c r="Q345" s="10"/>
    </row>
    <row r="346" spans="17:17" x14ac:dyDescent="0.3">
      <c r="Q346" s="10"/>
    </row>
    <row r="347" spans="17:17" x14ac:dyDescent="0.3">
      <c r="Q347" s="10"/>
    </row>
    <row r="348" spans="17:17" x14ac:dyDescent="0.3">
      <c r="Q348" s="10"/>
    </row>
    <row r="349" spans="17:17" x14ac:dyDescent="0.3">
      <c r="Q349" s="10"/>
    </row>
    <row r="350" spans="17:17" x14ac:dyDescent="0.3">
      <c r="Q350" s="10"/>
    </row>
    <row r="351" spans="17:17" x14ac:dyDescent="0.3">
      <c r="Q351" s="10"/>
    </row>
    <row r="352" spans="17:17" x14ac:dyDescent="0.3">
      <c r="Q352" s="10"/>
    </row>
    <row r="353" spans="17:17" x14ac:dyDescent="0.3">
      <c r="Q353" s="10"/>
    </row>
    <row r="354" spans="17:17" x14ac:dyDescent="0.3">
      <c r="Q354" s="10"/>
    </row>
    <row r="355" spans="17:17" x14ac:dyDescent="0.3">
      <c r="Q355" s="10"/>
    </row>
    <row r="356" spans="17:17" x14ac:dyDescent="0.3">
      <c r="Q356" s="10"/>
    </row>
    <row r="357" spans="17:17" x14ac:dyDescent="0.3">
      <c r="Q357" s="10"/>
    </row>
    <row r="358" spans="17:17" x14ac:dyDescent="0.3">
      <c r="Q358" s="10"/>
    </row>
    <row r="359" spans="17:17" x14ac:dyDescent="0.3">
      <c r="Q359" s="10"/>
    </row>
    <row r="360" spans="17:17" x14ac:dyDescent="0.3">
      <c r="Q360" s="10"/>
    </row>
    <row r="361" spans="17:17" x14ac:dyDescent="0.3">
      <c r="Q361" s="10"/>
    </row>
    <row r="362" spans="17:17" x14ac:dyDescent="0.3">
      <c r="Q362" s="10"/>
    </row>
    <row r="363" spans="17:17" x14ac:dyDescent="0.3">
      <c r="Q363" s="10"/>
    </row>
    <row r="364" spans="17:17" x14ac:dyDescent="0.3">
      <c r="Q364" s="10"/>
    </row>
    <row r="365" spans="17:17" x14ac:dyDescent="0.3">
      <c r="Q365" s="10"/>
    </row>
    <row r="366" spans="17:17" x14ac:dyDescent="0.3">
      <c r="Q366" s="10"/>
    </row>
    <row r="367" spans="17:17" x14ac:dyDescent="0.3">
      <c r="Q367" s="10"/>
    </row>
    <row r="368" spans="17:17" x14ac:dyDescent="0.3">
      <c r="Q368" s="10"/>
    </row>
    <row r="369" spans="17:17" x14ac:dyDescent="0.3">
      <c r="Q369" s="10"/>
    </row>
    <row r="370" spans="17:17" x14ac:dyDescent="0.3">
      <c r="Q370" s="10"/>
    </row>
    <row r="371" spans="17:17" x14ac:dyDescent="0.3">
      <c r="Q371" s="10"/>
    </row>
    <row r="372" spans="17:17" x14ac:dyDescent="0.3">
      <c r="Q372" s="10"/>
    </row>
    <row r="373" spans="17:17" x14ac:dyDescent="0.3">
      <c r="Q373" s="10"/>
    </row>
    <row r="374" spans="17:17" x14ac:dyDescent="0.3">
      <c r="Q374" s="10"/>
    </row>
    <row r="375" spans="17:17" x14ac:dyDescent="0.3">
      <c r="Q375" s="10"/>
    </row>
    <row r="376" spans="17:17" x14ac:dyDescent="0.3">
      <c r="Q376" s="10"/>
    </row>
    <row r="377" spans="17:17" x14ac:dyDescent="0.3">
      <c r="Q377" s="10"/>
    </row>
    <row r="378" spans="17:17" x14ac:dyDescent="0.3">
      <c r="Q378" s="10"/>
    </row>
    <row r="379" spans="17:17" x14ac:dyDescent="0.3">
      <c r="Q379" s="10"/>
    </row>
    <row r="380" spans="17:17" x14ac:dyDescent="0.3">
      <c r="Q380" s="10"/>
    </row>
    <row r="381" spans="17:17" x14ac:dyDescent="0.3">
      <c r="Q381" s="10"/>
    </row>
    <row r="382" spans="17:17" x14ac:dyDescent="0.3">
      <c r="Q382" s="10"/>
    </row>
    <row r="383" spans="17:17" x14ac:dyDescent="0.3">
      <c r="Q383" s="10"/>
    </row>
    <row r="384" spans="17:17" x14ac:dyDescent="0.3">
      <c r="Q384" s="10"/>
    </row>
    <row r="385" spans="17:17" x14ac:dyDescent="0.3">
      <c r="Q385" s="10"/>
    </row>
    <row r="386" spans="17:17" x14ac:dyDescent="0.3">
      <c r="Q386" s="10"/>
    </row>
    <row r="387" spans="17:17" x14ac:dyDescent="0.3">
      <c r="Q387" s="10"/>
    </row>
    <row r="388" spans="17:17" x14ac:dyDescent="0.3">
      <c r="Q388" s="10"/>
    </row>
    <row r="389" spans="17:17" x14ac:dyDescent="0.3">
      <c r="Q389" s="10"/>
    </row>
    <row r="390" spans="17:17" x14ac:dyDescent="0.3">
      <c r="Q390" s="10"/>
    </row>
    <row r="391" spans="17:17" x14ac:dyDescent="0.3">
      <c r="Q391" s="10"/>
    </row>
    <row r="392" spans="17:17" x14ac:dyDescent="0.3">
      <c r="Q392" s="10"/>
    </row>
    <row r="393" spans="17:17" x14ac:dyDescent="0.3">
      <c r="Q393" s="10"/>
    </row>
    <row r="394" spans="17:17" x14ac:dyDescent="0.3">
      <c r="Q394" s="10"/>
    </row>
    <row r="395" spans="17:17" x14ac:dyDescent="0.3">
      <c r="Q395" s="10"/>
    </row>
    <row r="396" spans="17:17" x14ac:dyDescent="0.3">
      <c r="Q396" s="10"/>
    </row>
    <row r="397" spans="17:17" x14ac:dyDescent="0.3">
      <c r="Q397" s="10"/>
    </row>
    <row r="398" spans="17:17" x14ac:dyDescent="0.3">
      <c r="Q398" s="10"/>
    </row>
    <row r="399" spans="17:17" x14ac:dyDescent="0.3">
      <c r="Q399" s="10"/>
    </row>
    <row r="400" spans="17:17" x14ac:dyDescent="0.3">
      <c r="Q400" s="10"/>
    </row>
    <row r="401" spans="17:17" x14ac:dyDescent="0.3">
      <c r="Q401" s="10"/>
    </row>
    <row r="402" spans="17:17" x14ac:dyDescent="0.3">
      <c r="Q402" s="10"/>
    </row>
    <row r="403" spans="17:17" x14ac:dyDescent="0.3">
      <c r="Q403" s="10"/>
    </row>
    <row r="404" spans="17:17" x14ac:dyDescent="0.3">
      <c r="Q404" s="10"/>
    </row>
    <row r="405" spans="17:17" x14ac:dyDescent="0.3">
      <c r="Q405" s="10"/>
    </row>
    <row r="406" spans="17:17" x14ac:dyDescent="0.3">
      <c r="Q406" s="10"/>
    </row>
    <row r="407" spans="17:17" x14ac:dyDescent="0.3">
      <c r="Q407" s="10"/>
    </row>
    <row r="408" spans="17:17" x14ac:dyDescent="0.3">
      <c r="Q408" s="10"/>
    </row>
    <row r="409" spans="17:17" x14ac:dyDescent="0.3">
      <c r="Q409" s="10"/>
    </row>
    <row r="410" spans="17:17" x14ac:dyDescent="0.3">
      <c r="Q410" s="10"/>
    </row>
    <row r="411" spans="17:17" x14ac:dyDescent="0.3">
      <c r="Q411" s="10"/>
    </row>
    <row r="412" spans="17:17" x14ac:dyDescent="0.3">
      <c r="Q412" s="10"/>
    </row>
    <row r="413" spans="17:17" x14ac:dyDescent="0.3">
      <c r="Q413" s="10"/>
    </row>
    <row r="414" spans="17:17" x14ac:dyDescent="0.3">
      <c r="Q414" s="10"/>
    </row>
    <row r="415" spans="17:17" x14ac:dyDescent="0.3">
      <c r="Q415" s="10"/>
    </row>
    <row r="416" spans="17:17" x14ac:dyDescent="0.3">
      <c r="Q416" s="10"/>
    </row>
    <row r="417" spans="17:17" x14ac:dyDescent="0.3">
      <c r="Q417" s="10"/>
    </row>
    <row r="418" spans="17:17" x14ac:dyDescent="0.3">
      <c r="Q418" s="10"/>
    </row>
    <row r="419" spans="17:17" x14ac:dyDescent="0.3">
      <c r="Q419" s="10"/>
    </row>
    <row r="420" spans="17:17" x14ac:dyDescent="0.3">
      <c r="Q420" s="10"/>
    </row>
    <row r="421" spans="17:17" x14ac:dyDescent="0.3">
      <c r="Q421" s="10"/>
    </row>
    <row r="422" spans="17:17" x14ac:dyDescent="0.3">
      <c r="Q422" s="10"/>
    </row>
    <row r="423" spans="17:17" x14ac:dyDescent="0.3">
      <c r="Q423" s="10"/>
    </row>
    <row r="424" spans="17:17" x14ac:dyDescent="0.3">
      <c r="Q424" s="10"/>
    </row>
    <row r="425" spans="17:17" x14ac:dyDescent="0.3">
      <c r="Q425" s="10"/>
    </row>
    <row r="426" spans="17:17" x14ac:dyDescent="0.3">
      <c r="Q426" s="10"/>
    </row>
    <row r="427" spans="17:17" x14ac:dyDescent="0.3">
      <c r="Q427" s="10"/>
    </row>
    <row r="428" spans="17:17" x14ac:dyDescent="0.3">
      <c r="Q428" s="10"/>
    </row>
    <row r="429" spans="17:17" x14ac:dyDescent="0.3">
      <c r="Q429" s="10"/>
    </row>
    <row r="430" spans="17:17" x14ac:dyDescent="0.3">
      <c r="Q430" s="10"/>
    </row>
    <row r="431" spans="17:17" x14ac:dyDescent="0.3">
      <c r="Q431" s="10"/>
    </row>
    <row r="432" spans="17:17" x14ac:dyDescent="0.3">
      <c r="Q432" s="10"/>
    </row>
    <row r="433" spans="17:17" x14ac:dyDescent="0.3">
      <c r="Q433" s="10"/>
    </row>
    <row r="434" spans="17:17" x14ac:dyDescent="0.3">
      <c r="Q434" s="10"/>
    </row>
    <row r="435" spans="17:17" x14ac:dyDescent="0.3">
      <c r="Q435" s="10"/>
    </row>
    <row r="436" spans="17:17" x14ac:dyDescent="0.3">
      <c r="Q436" s="10"/>
    </row>
    <row r="437" spans="17:17" x14ac:dyDescent="0.3">
      <c r="Q437" s="10"/>
    </row>
    <row r="438" spans="17:17" x14ac:dyDescent="0.3">
      <c r="Q438" s="10"/>
    </row>
    <row r="439" spans="17:17" x14ac:dyDescent="0.3">
      <c r="Q439" s="10"/>
    </row>
    <row r="440" spans="17:17" x14ac:dyDescent="0.3">
      <c r="Q440" s="10"/>
    </row>
  </sheetData>
  <mergeCells count="4">
    <mergeCell ref="T9:W9"/>
    <mergeCell ref="G9:R9"/>
    <mergeCell ref="C1:H2"/>
    <mergeCell ref="C4:D6"/>
  </mergeCells>
  <conditionalFormatting sqref="J13:P71">
    <cfRule type="expression" dxfId="67" priority="44">
      <formula>0</formula>
    </cfRule>
  </conditionalFormatting>
  <conditionalFormatting sqref="J13:P71 B13:F71">
    <cfRule type="expression" dxfId="66" priority="46">
      <formula>$F13="Nej"</formula>
    </cfRule>
  </conditionalFormatting>
  <conditionalFormatting sqref="R13:R25">
    <cfRule type="expression" dxfId="65" priority="9">
      <formula>0</formula>
    </cfRule>
  </conditionalFormatting>
  <conditionalFormatting sqref="R13:R25">
    <cfRule type="expression" dxfId="64" priority="10">
      <formula>$F13="Nej"</formula>
    </cfRule>
  </conditionalFormatting>
  <conditionalFormatting sqref="Q13:Q25">
    <cfRule type="expression" dxfId="63" priority="7">
      <formula>0</formula>
    </cfRule>
  </conditionalFormatting>
  <conditionalFormatting sqref="Q13:Q25">
    <cfRule type="expression" dxfId="62" priority="8">
      <formula>$F13="Nej"</formula>
    </cfRule>
  </conditionalFormatting>
  <conditionalFormatting sqref="I13:I25">
    <cfRule type="expression" dxfId="61" priority="5">
      <formula>0</formula>
    </cfRule>
  </conditionalFormatting>
  <conditionalFormatting sqref="I13:I25">
    <cfRule type="expression" dxfId="60" priority="6">
      <formula>$F13="Nej"</formula>
    </cfRule>
  </conditionalFormatting>
  <conditionalFormatting sqref="H13:H25">
    <cfRule type="expression" dxfId="59" priority="3">
      <formula>0</formula>
    </cfRule>
  </conditionalFormatting>
  <conditionalFormatting sqref="H13:H25">
    <cfRule type="expression" dxfId="58" priority="4">
      <formula>$F13="Nej"</formula>
    </cfRule>
  </conditionalFormatting>
  <conditionalFormatting sqref="G13:G25">
    <cfRule type="expression" dxfId="57" priority="1">
      <formula>0</formula>
    </cfRule>
  </conditionalFormatting>
  <conditionalFormatting sqref="G13:G25">
    <cfRule type="expression" dxfId="56" priority="2">
      <formula>$F13="Nej"</formula>
    </cfRule>
  </conditionalFormatting>
  <conditionalFormatting sqref="B59:D71">
    <cfRule type="expression" dxfId="55" priority="53">
      <formula>$G59="Nej"</formula>
    </cfRule>
  </conditionalFormatting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Data!$B$2:$B$3</xm:f>
          </x14:formula1>
          <xm:sqref>F13:F71</xm:sqref>
        </x14:dataValidation>
        <x14:dataValidation type="list" allowBlank="1" showInputMessage="1" showErrorMessage="1" xr:uid="{65E00063-90E6-454B-9A5A-0A5F78088F0D}">
          <x14:formula1>
            <xm:f>'Nuvärdesberäkning år'!$C$3:$C$23</xm:f>
          </x14:formula1>
          <xm:sqref>D46:D71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033E0-BECB-47ED-9743-DCE5BB1F7433}">
  <sheetPr>
    <tabColor theme="7" tint="0.39997558519241921"/>
  </sheetPr>
  <dimension ref="A1:W75"/>
  <sheetViews>
    <sheetView showGridLines="0" zoomScale="70" zoomScaleNormal="70" workbookViewId="0">
      <selection activeCell="E5" sqref="E5"/>
    </sheetView>
  </sheetViews>
  <sheetFormatPr defaultRowHeight="14.4" x14ac:dyDescent="0.3"/>
  <cols>
    <col min="1" max="1" width="3.33203125" customWidth="1"/>
    <col min="2" max="2" width="8.5546875" style="2" customWidth="1"/>
    <col min="3" max="3" width="16" style="2" customWidth="1"/>
    <col min="4" max="4" width="17.33203125" style="2" bestFit="1" customWidth="1"/>
    <col min="5" max="5" width="41.6640625" style="2" customWidth="1"/>
    <col min="6" max="6" width="21.109375" style="3" customWidth="1"/>
    <col min="7" max="7" width="14.6640625" style="1" customWidth="1"/>
    <col min="8" max="8" width="11.33203125" style="1" customWidth="1"/>
    <col min="9" max="9" width="12" style="1" customWidth="1"/>
    <col min="10" max="10" width="16.33203125" style="1" customWidth="1"/>
    <col min="11" max="11" width="12" style="1" customWidth="1"/>
    <col min="12" max="12" width="13.33203125" customWidth="1"/>
    <col min="13" max="13" width="15" customWidth="1"/>
    <col min="14" max="14" width="14.88671875" customWidth="1"/>
    <col min="15" max="15" width="13.6640625" customWidth="1"/>
    <col min="16" max="17" width="13.5546875" hidden="1" customWidth="1"/>
    <col min="18" max="18" width="12.5546875" hidden="1" customWidth="1"/>
    <col min="19" max="19" width="12.33203125" hidden="1" customWidth="1"/>
    <col min="20" max="20" width="0" hidden="1" customWidth="1"/>
    <col min="21" max="21" width="11.33203125" hidden="1" customWidth="1"/>
    <col min="22" max="23" width="0" hidden="1" customWidth="1"/>
  </cols>
  <sheetData>
    <row r="1" spans="2:23" ht="15" thickBot="1" x14ac:dyDescent="0.35"/>
    <row r="2" spans="2:23" x14ac:dyDescent="0.3">
      <c r="B2" s="246"/>
      <c r="C2" s="247"/>
      <c r="D2" s="247"/>
      <c r="E2" s="248"/>
      <c r="F2" s="237" t="s">
        <v>40</v>
      </c>
      <c r="G2" s="124"/>
      <c r="H2" s="124"/>
      <c r="I2" s="124"/>
      <c r="J2" s="124"/>
      <c r="K2" s="125"/>
    </row>
    <row r="3" spans="2:23" ht="15.6" customHeight="1" x14ac:dyDescent="0.3">
      <c r="B3" s="76"/>
      <c r="C3" s="69"/>
      <c r="D3" s="69"/>
      <c r="E3" s="68"/>
      <c r="F3" s="58"/>
      <c r="G3" s="122"/>
      <c r="H3" s="128" t="s">
        <v>37</v>
      </c>
      <c r="I3" s="122" t="s">
        <v>33</v>
      </c>
      <c r="J3" s="128"/>
      <c r="K3" s="80"/>
    </row>
    <row r="4" spans="2:23" ht="16.2" customHeight="1" thickBot="1" x14ac:dyDescent="0.35">
      <c r="B4" s="76"/>
      <c r="C4" s="69"/>
      <c r="D4" s="69"/>
      <c r="E4" s="68"/>
      <c r="F4" s="58"/>
      <c r="G4" s="123"/>
      <c r="H4" s="129"/>
      <c r="I4" s="123"/>
      <c r="J4" s="128"/>
      <c r="K4" s="80"/>
    </row>
    <row r="5" spans="2:23" ht="30" customHeight="1" x14ac:dyDescent="0.35">
      <c r="B5" s="76"/>
      <c r="C5" s="69"/>
      <c r="D5" s="69"/>
      <c r="E5" s="68"/>
      <c r="F5" s="249" t="s">
        <v>143</v>
      </c>
      <c r="G5" s="126" t="s">
        <v>116</v>
      </c>
      <c r="H5" s="121" t="s">
        <v>57</v>
      </c>
      <c r="I5" s="209" t="s">
        <v>58</v>
      </c>
      <c r="J5" s="199" t="s">
        <v>6</v>
      </c>
      <c r="K5" s="200" t="s">
        <v>51</v>
      </c>
    </row>
    <row r="6" spans="2:23" ht="16.2" customHeight="1" thickBot="1" x14ac:dyDescent="0.4">
      <c r="B6" s="76"/>
      <c r="C6" s="64" t="s">
        <v>49</v>
      </c>
      <c r="D6" s="81">
        <v>0.05</v>
      </c>
      <c r="E6" s="68"/>
      <c r="F6" s="250"/>
      <c r="G6" s="127"/>
      <c r="H6" s="211"/>
      <c r="I6" s="212"/>
      <c r="J6" s="213"/>
      <c r="K6" s="214" t="s">
        <v>110</v>
      </c>
    </row>
    <row r="7" spans="2:23" ht="18" x14ac:dyDescent="0.35">
      <c r="B7" s="76"/>
      <c r="C7" s="64" t="s">
        <v>50</v>
      </c>
      <c r="D7" s="82">
        <v>0.02</v>
      </c>
      <c r="E7" s="68"/>
      <c r="F7" s="201" t="s">
        <v>140</v>
      </c>
      <c r="G7" s="201">
        <v>10</v>
      </c>
      <c r="H7" s="210">
        <f>P15</f>
        <v>168.24699999999996</v>
      </c>
      <c r="I7" s="210">
        <f>IF(G7&lt;&gt;"",Q15,"")</f>
        <v>2358.4</v>
      </c>
      <c r="J7" s="202">
        <f>IFERROR(I7/H7,"-")</f>
        <v>14.017486195890569</v>
      </c>
      <c r="K7" s="203">
        <f>IFERROR(-PV(($D$6-$D$7),G7,H7)-I7,"-")</f>
        <v>-923.21896332097799</v>
      </c>
    </row>
    <row r="8" spans="2:23" ht="16.2" customHeight="1" x14ac:dyDescent="0.35">
      <c r="B8" s="76"/>
      <c r="C8" s="69"/>
      <c r="D8" s="64"/>
      <c r="E8" s="64"/>
      <c r="F8" s="204" t="s">
        <v>141</v>
      </c>
      <c r="G8" s="204">
        <v>15</v>
      </c>
      <c r="H8" s="205">
        <f>R15</f>
        <v>168.67899999999997</v>
      </c>
      <c r="I8" s="205">
        <f>IF(G8&lt;&gt;"",R15,"")</f>
        <v>168.67899999999997</v>
      </c>
      <c r="J8" s="206">
        <f t="shared" ref="J8:J10" si="0">IFERROR(I8/H8,"-")</f>
        <v>1</v>
      </c>
      <c r="K8" s="207">
        <f>IFERROR(-PV(($D$6-$D$7),G8,H8)-I8,"-")</f>
        <v>1844.9999525023013</v>
      </c>
    </row>
    <row r="9" spans="2:23" ht="15.6" customHeight="1" x14ac:dyDescent="0.35">
      <c r="B9" s="76"/>
      <c r="C9" s="69"/>
      <c r="D9" s="63"/>
      <c r="E9" s="70"/>
      <c r="F9" s="204" t="s">
        <v>142</v>
      </c>
      <c r="G9" s="204">
        <v>15</v>
      </c>
      <c r="H9" s="205">
        <f>T15</f>
        <v>272.9729999999999</v>
      </c>
      <c r="I9" s="205">
        <f>IF(G9&lt;&gt;"",T15,"")</f>
        <v>272.9729999999999</v>
      </c>
      <c r="J9" s="206">
        <f t="shared" si="0"/>
        <v>1</v>
      </c>
      <c r="K9" s="207">
        <f>IFERROR(-PV(($D$6-$D$7),G9,H9)-I9,"-")</f>
        <v>2985.760954442525</v>
      </c>
    </row>
    <row r="10" spans="2:23" ht="18.600000000000001" thickBot="1" x14ac:dyDescent="0.4">
      <c r="B10" s="65"/>
      <c r="C10" s="66"/>
      <c r="D10" s="66"/>
      <c r="E10" s="67"/>
      <c r="F10" s="78" t="s">
        <v>142</v>
      </c>
      <c r="G10" s="78">
        <v>15</v>
      </c>
      <c r="H10" s="208">
        <f>W15</f>
        <v>894</v>
      </c>
      <c r="I10" s="208">
        <f>IF(G10&lt;&gt;"",V15,"")</f>
        <v>81.953999999999979</v>
      </c>
      <c r="J10" s="79">
        <f t="shared" si="0"/>
        <v>9.1671140939597287E-2</v>
      </c>
      <c r="K10" s="91">
        <f>IFERROR(-PV(($D$6-$D$7),G10,H10)-I10,"-")</f>
        <v>10590.559967577812</v>
      </c>
    </row>
    <row r="11" spans="2:23" ht="15" thickBot="1" x14ac:dyDescent="0.35">
      <c r="E11" s="7"/>
      <c r="F11" s="8"/>
      <c r="G11" s="6"/>
      <c r="H11" s="6"/>
      <c r="I11" s="6"/>
      <c r="J11" s="6"/>
      <c r="K11" s="6"/>
      <c r="L11" s="6"/>
      <c r="M11" s="6"/>
    </row>
    <row r="12" spans="2:23" ht="39.6" customHeight="1" x14ac:dyDescent="0.3">
      <c r="B12" s="87"/>
      <c r="C12" s="74"/>
      <c r="D12" s="74"/>
      <c r="E12" s="87"/>
      <c r="F12" s="183"/>
      <c r="G12" s="59" t="s">
        <v>48</v>
      </c>
      <c r="H12" s="60"/>
      <c r="I12" s="60"/>
      <c r="J12" s="193"/>
      <c r="K12" s="180"/>
      <c r="L12" s="251" t="s">
        <v>117</v>
      </c>
      <c r="M12" s="252"/>
      <c r="N12" s="252"/>
      <c r="O12" s="253"/>
      <c r="P12" s="141" t="str">
        <f>L13</f>
        <v>Paket 1                               [X]</v>
      </c>
      <c r="Q12" s="141"/>
      <c r="R12" s="141" t="str">
        <f>M13</f>
        <v>Paket 2                               [X]</v>
      </c>
      <c r="S12" s="141"/>
      <c r="T12" s="141" t="str">
        <f>N13</f>
        <v>Paket 4                               [X]</v>
      </c>
      <c r="U12" s="141"/>
      <c r="V12" s="141" t="str">
        <f>O13</f>
        <v>Paket 4                               [X]</v>
      </c>
      <c r="W12" s="142"/>
    </row>
    <row r="13" spans="2:23" ht="43.8" thickBot="1" x14ac:dyDescent="0.35">
      <c r="B13" s="88" t="s">
        <v>2</v>
      </c>
      <c r="C13" s="187" t="s">
        <v>128</v>
      </c>
      <c r="D13" s="187" t="s">
        <v>46</v>
      </c>
      <c r="E13" s="186" t="s">
        <v>3</v>
      </c>
      <c r="F13" s="184" t="s">
        <v>4</v>
      </c>
      <c r="G13" s="61" t="s">
        <v>5</v>
      </c>
      <c r="H13" s="62" t="s">
        <v>115</v>
      </c>
      <c r="I13" s="75" t="s">
        <v>6</v>
      </c>
      <c r="J13" s="194" t="s">
        <v>126</v>
      </c>
      <c r="K13" s="181" t="s">
        <v>127</v>
      </c>
      <c r="L13" s="190" t="str">
        <f>F7 &amp; "                               " &amp; "[X]"</f>
        <v>Paket 1                               [X]</v>
      </c>
      <c r="M13" s="191" t="str">
        <f>F8 &amp; "                               " &amp; "[X]"</f>
        <v>Paket 2                               [X]</v>
      </c>
      <c r="N13" s="191" t="str">
        <f>F9 &amp; "                               " &amp; "[X]"</f>
        <v>Paket 4                               [X]</v>
      </c>
      <c r="O13" s="192" t="str">
        <f>F10 &amp; "                               " &amp; "[X]"</f>
        <v>Paket 4                               [X]</v>
      </c>
      <c r="P13" s="139" t="s">
        <v>57</v>
      </c>
      <c r="Q13" s="130" t="s">
        <v>33</v>
      </c>
      <c r="R13" s="130" t="s">
        <v>57</v>
      </c>
      <c r="S13" s="130" t="s">
        <v>33</v>
      </c>
      <c r="T13" s="130" t="s">
        <v>57</v>
      </c>
      <c r="U13" s="130" t="s">
        <v>33</v>
      </c>
      <c r="V13" s="130" t="s">
        <v>57</v>
      </c>
      <c r="W13" s="131" t="s">
        <v>33</v>
      </c>
    </row>
    <row r="14" spans="2:23" ht="15.6" customHeight="1" x14ac:dyDescent="0.3">
      <c r="B14" s="88"/>
      <c r="C14" s="75"/>
      <c r="D14" s="75"/>
      <c r="E14" s="185"/>
      <c r="F14" s="244" t="s">
        <v>38</v>
      </c>
      <c r="G14" s="258">
        <f>SUBTOTAL(9,Åtgärdslista32[Kolumn11])</f>
        <v>998.04300000000035</v>
      </c>
      <c r="H14" s="258">
        <f>SUBTOTAL(9,Åtgärdslista32[Kolumn5])</f>
        <v>11047.800000000001</v>
      </c>
      <c r="I14" s="260">
        <f>H14/G14</f>
        <v>11.069462938971565</v>
      </c>
      <c r="J14" s="254" t="s">
        <v>129</v>
      </c>
      <c r="K14" s="255"/>
      <c r="L14" s="216">
        <f>P15</f>
        <v>168.24699999999996</v>
      </c>
      <c r="M14" s="217">
        <f>R15</f>
        <v>168.67899999999997</v>
      </c>
      <c r="N14" s="217">
        <f>T15</f>
        <v>272.9729999999999</v>
      </c>
      <c r="O14" s="218">
        <f>V15</f>
        <v>81.953999999999979</v>
      </c>
      <c r="P14" s="139"/>
      <c r="Q14" s="130"/>
      <c r="R14" s="130"/>
      <c r="S14" s="130"/>
      <c r="T14" s="130"/>
      <c r="U14" s="130"/>
      <c r="V14" s="130"/>
      <c r="W14" s="138"/>
    </row>
    <row r="15" spans="2:23" ht="15.6" customHeight="1" thickBot="1" x14ac:dyDescent="0.35">
      <c r="B15" s="156"/>
      <c r="C15" s="157"/>
      <c r="D15" s="157"/>
      <c r="E15" s="185"/>
      <c r="F15" s="245"/>
      <c r="G15" s="259"/>
      <c r="H15" s="259"/>
      <c r="I15" s="261"/>
      <c r="J15" s="256" t="s">
        <v>130</v>
      </c>
      <c r="K15" s="257"/>
      <c r="L15" s="219">
        <f>Q15</f>
        <v>2358.4</v>
      </c>
      <c r="M15" s="220">
        <f>S15</f>
        <v>2564</v>
      </c>
      <c r="N15" s="220">
        <f>U15</f>
        <v>2564</v>
      </c>
      <c r="O15" s="221">
        <f>W15</f>
        <v>894</v>
      </c>
      <c r="P15" s="140">
        <f>SUBTOTAL(9,Åtgärdslista32[Kolumn14])</f>
        <v>168.24699999999996</v>
      </c>
      <c r="Q15" s="132">
        <f>SUBTOTAL(9,Åtgärdslista32[Kolumn15])</f>
        <v>2358.4</v>
      </c>
      <c r="R15" s="132">
        <f>SUBTOTAL(9,Åtgärdslista32[Kolumn12])</f>
        <v>168.67899999999997</v>
      </c>
      <c r="S15" s="132">
        <f>SUBTOTAL(9,Åtgärdslista32[Kolumn2])</f>
        <v>2564</v>
      </c>
      <c r="T15" s="132">
        <f>SUBTOTAL(9,Åtgärdslista32[Kolumn23])</f>
        <v>272.9729999999999</v>
      </c>
      <c r="U15" s="132">
        <f>SUBTOTAL(9,Åtgärdslista32[Kolumn4])</f>
        <v>2564</v>
      </c>
      <c r="V15" s="132">
        <f>SUBTOTAL(9,Åtgärdslista32[Kolumn7])</f>
        <v>81.953999999999979</v>
      </c>
      <c r="W15" s="132">
        <f>SUBTOTAL(9,Åtgärdslista32[Kolumn17])</f>
        <v>894</v>
      </c>
    </row>
    <row r="16" spans="2:23" ht="17.25" customHeight="1" thickBot="1" x14ac:dyDescent="0.35">
      <c r="B16" s="86" t="s">
        <v>7</v>
      </c>
      <c r="C16" s="84" t="s">
        <v>72</v>
      </c>
      <c r="D16" s="84" t="s">
        <v>71</v>
      </c>
      <c r="E16" s="86" t="s">
        <v>8</v>
      </c>
      <c r="F16" s="83" t="s">
        <v>9</v>
      </c>
      <c r="G16" s="85" t="s">
        <v>23</v>
      </c>
      <c r="H16" s="84" t="s">
        <v>24</v>
      </c>
      <c r="I16" s="84" t="s">
        <v>53</v>
      </c>
      <c r="J16" s="196" t="s">
        <v>125</v>
      </c>
      <c r="K16" s="182" t="s">
        <v>124</v>
      </c>
      <c r="L16" s="188" t="s">
        <v>47</v>
      </c>
      <c r="M16" s="182" t="s">
        <v>10</v>
      </c>
      <c r="N16" s="182" t="s">
        <v>111</v>
      </c>
      <c r="O16" s="189" t="s">
        <v>113</v>
      </c>
      <c r="P16" s="133" t="s">
        <v>30</v>
      </c>
      <c r="Q16" s="133" t="s">
        <v>31</v>
      </c>
      <c r="R16" s="133" t="s">
        <v>109</v>
      </c>
      <c r="S16" s="133" t="s">
        <v>108</v>
      </c>
      <c r="T16" s="133" t="s">
        <v>112</v>
      </c>
      <c r="U16" s="133" t="s">
        <v>54</v>
      </c>
      <c r="V16" s="133" t="s">
        <v>55</v>
      </c>
      <c r="W16" s="134" t="s">
        <v>32</v>
      </c>
    </row>
    <row r="17" spans="1:23" ht="15.6" x14ac:dyDescent="0.3">
      <c r="B17" s="25">
        <v>1</v>
      </c>
      <c r="C17" s="26" t="str">
        <f>IF(VLOOKUP(Åtgärdslista32[[#This Row],[Kolumn3]],Åtgärdslista3[[Kolumn3]:[Kolumn5]],2,FALSE)="","",VLOOKUP(Åtgärdslista32[[#This Row],[Kolumn3]],Åtgärdslista3[[Kolumn3]:[Kolumn5]],2,FALSE))</f>
        <v>Björken 10</v>
      </c>
      <c r="D17" s="26" t="str">
        <f>IF(VLOOKUP(Åtgärdslista32[[#This Row],[Kolumn3]],Åtgärdslista3[[Kolumn3]:[Kolumn5]],3,FALSE)="","",VLOOKUP(Åtgärdslista32[[#This Row],[Kolumn3]],Åtgärdslista3[[Kolumn3]:[Kolumn5]],3,FALSE))</f>
        <v>Vattenspar</v>
      </c>
      <c r="E17" s="12" t="str">
        <f>IF(VLOOKUP(Åtgärdslista32[[#This Row],[Kolumn3]],Åtgärdslista3[[Kolumn3]:[Kolumn5]],4,FALSE)="","",VLOOKUP(Åtgärdslista32[[#This Row],[Kolumn3]],Åtgärdslista3[[Kolumn3]:[Kolumn5]],4,FALSE))</f>
        <v>Vattenspar</v>
      </c>
      <c r="F17" s="215" t="s">
        <v>26</v>
      </c>
      <c r="G17" s="177">
        <f>IF(Åtgärdslista32[[#This Row],[Kolumn42]]="ja",VLOOKUP(Åtgärdslista32[[#This Row],[Kolumn3]],Åtgärdslista3[[Kolumn3]:[Kolumn5]],19,FALSE),"-")</f>
        <v>3.2249999999999996</v>
      </c>
      <c r="H17" s="178">
        <f>IF(Åtgärdslista32[[#This Row],[Kolumn42]]="ja",VLOOKUP(Åtgärdslista32[[#This Row],[Kolumn3]],Åtgärdslista3[[Kolumn3]:[Kolumn5]],20,FALSE),"-")</f>
        <v>6.4</v>
      </c>
      <c r="I17" s="178">
        <f>IFERROR(Åtgärdslista32[[#This Row],[Kolumn5]]/Åtgärdslista32[[#This Row],[Kolumn11]],"-")</f>
        <v>1.9844961240310082</v>
      </c>
      <c r="J17" s="197">
        <f>IF(Åtgärdslista32[[#This Row],[Kolumn33]]="","",IFERROR(VLOOKUP(Åtgärdslista32[[#This Row],[Kolumn33]],'Nuvärdesberäkning år'!$C$3:$D$23,2,FALSE),"Kategori saknas"))</f>
        <v>10</v>
      </c>
      <c r="K17" s="45">
        <f t="shared" ref="K17:K48" si="1">IFERROR(-PV(($D$6-$D$7),J17,G17)-H17,"-")</f>
        <v>21.109904148602034</v>
      </c>
      <c r="L17" s="146" t="s">
        <v>114</v>
      </c>
      <c r="M17" s="77"/>
      <c r="N17" s="77" t="s">
        <v>114</v>
      </c>
      <c r="O17" s="147" t="s">
        <v>114</v>
      </c>
      <c r="P17" s="143">
        <f>IF(Åtgärdslista32[[#This Row],[Kolumn1]]&lt;&gt;"",Åtgärdslista32[[#This Row],[Kolumn11]],"-")</f>
        <v>3.2249999999999996</v>
      </c>
      <c r="Q17" s="135">
        <f>IF(Åtgärdslista32[[#This Row],[Kolumn1]]&lt;&gt;"",Åtgärdslista32[[#This Row],[Kolumn5]],"-")</f>
        <v>6.4</v>
      </c>
      <c r="R17" s="135" t="str">
        <f>IF(Åtgärdslista32[[#This Row],[Kolumn6]]&lt;&gt;"",Åtgärdslista32[[#This Row],[Kolumn11]],"-")</f>
        <v>-</v>
      </c>
      <c r="S17" s="135">
        <f>IF(Åtgärdslista32[[#This Row],[Kolumn22]]&lt;&gt;"",Åtgärdslista32[[#This Row],[Kolumn5]],"-")</f>
        <v>6.4</v>
      </c>
      <c r="T17" s="135">
        <f>IF(Åtgärdslista32[[#This Row],[Kolumn22]]&lt;&gt;"",Åtgärdslista32[[#This Row],[Kolumn11]],"-")</f>
        <v>3.2249999999999996</v>
      </c>
      <c r="U17" s="135">
        <f>IF(Åtgärdslista32[[#This Row],[Kolumn22]]&lt;&gt;"",Åtgärdslista32[[#This Row],[Kolumn5]],"-")</f>
        <v>6.4</v>
      </c>
      <c r="V17" s="135">
        <f>IF(Åtgärdslista32[[#This Row],[Kolumn43]]&lt;&gt;"",Åtgärdslista32[[#This Row],[Kolumn11]],"-")</f>
        <v>3.2249999999999996</v>
      </c>
      <c r="W17" s="135">
        <f>IF(Åtgärdslista32[[#This Row],[Kolumn43]]&lt;&gt;"",Åtgärdslista32[[#This Row],[Kolumn5]],"-")</f>
        <v>6.4</v>
      </c>
    </row>
    <row r="18" spans="1:23" s="13" customFormat="1" ht="15.6" x14ac:dyDescent="0.3">
      <c r="A18"/>
      <c r="B18" s="25">
        <v>2</v>
      </c>
      <c r="C18" s="26" t="str">
        <f>IF(VLOOKUP(Åtgärdslista32[[#This Row],[Kolumn3]],Åtgärdslista3[[Kolumn3]:[Kolumn5]],2,FALSE)="","",VLOOKUP(Åtgärdslista32[[#This Row],[Kolumn3]],Åtgärdslista3[[Kolumn3]:[Kolumn5]],2,FALSE))</f>
        <v>Björken 10</v>
      </c>
      <c r="D18" s="26" t="str">
        <f>IF(VLOOKUP(Åtgärdslista32[[#This Row],[Kolumn3]],Åtgärdslista3[[Kolumn3]:[Kolumn5]],3,FALSE)="","",VLOOKUP(Åtgärdslista32[[#This Row],[Kolumn3]],Åtgärdslista3[[Kolumn3]:[Kolumn5]],3,FALSE))</f>
        <v>Styr &amp; övervakning</v>
      </c>
      <c r="E18" s="12" t="str">
        <f>IF(VLOOKUP(Åtgärdslista32[[#This Row],[Kolumn3]],Åtgärdslista3[[Kolumn3]:[Kolumn5]],4,FALSE)="","",VLOOKUP(Åtgärdslista32[[#This Row],[Kolumn3]],Åtgärdslista3[[Kolumn3]:[Kolumn5]],4,FALSE))</f>
        <v>Styr och regler</v>
      </c>
      <c r="F18" s="215" t="s">
        <v>26</v>
      </c>
      <c r="G18" s="177">
        <f>IF(Åtgärdslista32[[#This Row],[Kolumn42]]="ja",VLOOKUP(Åtgärdslista32[[#This Row],[Kolumn3]],Åtgärdslista3[[Kolumn3]:[Kolumn5]],19,FALSE),"-")</f>
        <v>3.7949999999999999</v>
      </c>
      <c r="H18" s="178">
        <f>IF(Åtgärdslista32[[#This Row],[Kolumn42]]="ja",VLOOKUP(Åtgärdslista32[[#This Row],[Kolumn3]],Åtgärdslista3[[Kolumn3]:[Kolumn5]],20,FALSE),"-")</f>
        <v>150</v>
      </c>
      <c r="I18" s="178">
        <f>IFERROR(Åtgärdslista32[[#This Row],[Kolumn5]]/Åtgärdslista32[[#This Row],[Kolumn11]],"-")</f>
        <v>39.525691699604742</v>
      </c>
      <c r="J18" s="197">
        <f>IF(Åtgärdslista32[[#This Row],[Kolumn33]]="","",IFERROR(VLOOKUP(Åtgärdslista32[[#This Row],[Kolumn33]],'Nuvärdesberäkning år'!$C$3:$D$23,2,FALSE),"Kategori saknas"))</f>
        <v>15</v>
      </c>
      <c r="K18" s="45">
        <f t="shared" si="1"/>
        <v>-104.69553634568479</v>
      </c>
      <c r="L18" s="146"/>
      <c r="M18" s="77"/>
      <c r="N18" s="77"/>
      <c r="O18" s="147"/>
      <c r="P18" s="143" t="str">
        <f>IF(Åtgärdslista32[[#This Row],[Kolumn1]]&lt;&gt;"",Åtgärdslista32[[#This Row],[Kolumn11]],"-")</f>
        <v>-</v>
      </c>
      <c r="Q18" s="135" t="str">
        <f>IF(Åtgärdslista32[[#This Row],[Kolumn1]]&lt;&gt;"",Åtgärdslista32[[#This Row],[Kolumn5]],"-")</f>
        <v>-</v>
      </c>
      <c r="R18" s="135" t="str">
        <f>IF(Åtgärdslista32[[#This Row],[Kolumn6]]&lt;&gt;"",Åtgärdslista32[[#This Row],[Kolumn11]],"-")</f>
        <v>-</v>
      </c>
      <c r="S18" s="135" t="str">
        <f>IF(Åtgärdslista32[[#This Row],[Kolumn22]]&lt;&gt;"",Åtgärdslista32[[#This Row],[Kolumn5]],"-")</f>
        <v>-</v>
      </c>
      <c r="T18" s="135" t="str">
        <f>IF(Åtgärdslista32[[#This Row],[Kolumn22]]&lt;&gt;"",Åtgärdslista32[[#This Row],[Kolumn11]],"-")</f>
        <v>-</v>
      </c>
      <c r="U18" s="135" t="str">
        <f>IF(Åtgärdslista32[[#This Row],[Kolumn22]]&lt;&gt;"",Åtgärdslista32[[#This Row],[Kolumn5]],"-")</f>
        <v>-</v>
      </c>
      <c r="V18" s="135" t="str">
        <f>IF(Åtgärdslista32[[#This Row],[Kolumn43]]&lt;&gt;"",Åtgärdslista32[[#This Row],[Kolumn11]],"-")</f>
        <v>-</v>
      </c>
      <c r="W18" s="135" t="str">
        <f>IF(Åtgärdslista32[[#This Row],[Kolumn43]]&lt;&gt;"",Åtgärdslista32[[#This Row],[Kolumn5]],"-")</f>
        <v>-</v>
      </c>
    </row>
    <row r="19" spans="1:23" s="13" customFormat="1" ht="15.6" x14ac:dyDescent="0.3">
      <c r="A19" s="14"/>
      <c r="B19" s="25">
        <v>3</v>
      </c>
      <c r="C19" s="26" t="str">
        <f>IF(VLOOKUP(Åtgärdslista32[[#This Row],[Kolumn3]],Åtgärdslista3[[Kolumn3]:[Kolumn5]],2,FALSE)="","",VLOOKUP(Åtgärdslista32[[#This Row],[Kolumn3]],Åtgärdslista3[[Kolumn3]:[Kolumn5]],2,FALSE))</f>
        <v>Björken 10</v>
      </c>
      <c r="D19" s="26" t="str">
        <f>IF(VLOOKUP(Åtgärdslista32[[#This Row],[Kolumn3]],Åtgärdslista3[[Kolumn3]:[Kolumn5]],3,FALSE)="","",VLOOKUP(Åtgärdslista32[[#This Row],[Kolumn3]],Åtgärdslista3[[Kolumn3]:[Kolumn5]],3,FALSE))</f>
        <v>Värme</v>
      </c>
      <c r="E19" s="12" t="str">
        <f>IF(VLOOKUP(Åtgärdslista32[[#This Row],[Kolumn3]],Åtgärdslista3[[Kolumn3]:[Kolumn5]],4,FALSE)="","",VLOOKUP(Åtgärdslista32[[#This Row],[Kolumn3]],Åtgärdslista3[[Kolumn3]:[Kolumn5]],4,FALSE))</f>
        <v>Frånluftsvärmepump</v>
      </c>
      <c r="F19" s="215" t="s">
        <v>26</v>
      </c>
      <c r="G19" s="177">
        <f>IF(Åtgärdslista32[[#This Row],[Kolumn42]]="ja",VLOOKUP(Åtgärdslista32[[#This Row],[Kolumn3]],Åtgärdslista3[[Kolumn3]:[Kolumn5]],19,FALSE),"-")</f>
        <v>17.431999999999992</v>
      </c>
      <c r="H19" s="178">
        <f>IF(Åtgärdslista32[[#This Row],[Kolumn42]]="ja",VLOOKUP(Åtgärdslista32[[#This Row],[Kolumn3]],Åtgärdslista3[[Kolumn3]:[Kolumn5]],20,FALSE),"-")</f>
        <v>160</v>
      </c>
      <c r="I19" s="178">
        <f>IFERROR(Åtgärdslista32[[#This Row],[Kolumn5]]/Åtgärdslista32[[#This Row],[Kolumn11]],"-")</f>
        <v>9.1785222579164802</v>
      </c>
      <c r="J19" s="197">
        <f>IF(Åtgärdslista32[[#This Row],[Kolumn33]]="","",IFERROR(VLOOKUP(Åtgärdslista32[[#This Row],[Kolumn33]],'Nuvärdesberäkning år'!$C$3:$D$23,2,FALSE),"Kategori saknas"))</f>
        <v>20</v>
      </c>
      <c r="K19" s="45">
        <f t="shared" si="1"/>
        <v>99.344141767460144</v>
      </c>
      <c r="L19" s="146" t="s">
        <v>114</v>
      </c>
      <c r="M19" s="77" t="s">
        <v>114</v>
      </c>
      <c r="N19" s="77" t="s">
        <v>114</v>
      </c>
      <c r="O19" s="147" t="s">
        <v>114</v>
      </c>
      <c r="P19" s="143">
        <f>IF(Åtgärdslista32[[#This Row],[Kolumn1]]&lt;&gt;"",Åtgärdslista32[[#This Row],[Kolumn11]],"-")</f>
        <v>17.431999999999992</v>
      </c>
      <c r="Q19" s="135">
        <f>IF(Åtgärdslista32[[#This Row],[Kolumn1]]&lt;&gt;"",Åtgärdslista32[[#This Row],[Kolumn5]],"-")</f>
        <v>160</v>
      </c>
      <c r="R19" s="135">
        <f>IF(Åtgärdslista32[[#This Row],[Kolumn6]]&lt;&gt;"",Åtgärdslista32[[#This Row],[Kolumn11]],"-")</f>
        <v>17.431999999999992</v>
      </c>
      <c r="S19" s="135">
        <f>IF(Åtgärdslista32[[#This Row],[Kolumn22]]&lt;&gt;"",Åtgärdslista32[[#This Row],[Kolumn5]],"-")</f>
        <v>160</v>
      </c>
      <c r="T19" s="135">
        <f>IF(Åtgärdslista32[[#This Row],[Kolumn22]]&lt;&gt;"",Åtgärdslista32[[#This Row],[Kolumn11]],"-")</f>
        <v>17.431999999999992</v>
      </c>
      <c r="U19" s="135">
        <f>IF(Åtgärdslista32[[#This Row],[Kolumn22]]&lt;&gt;"",Åtgärdslista32[[#This Row],[Kolumn5]],"-")</f>
        <v>160</v>
      </c>
      <c r="V19" s="135">
        <f>IF(Åtgärdslista32[[#This Row],[Kolumn43]]&lt;&gt;"",Åtgärdslista32[[#This Row],[Kolumn11]],"-")</f>
        <v>17.431999999999992</v>
      </c>
      <c r="W19" s="135">
        <f>IF(Åtgärdslista32[[#This Row],[Kolumn43]]&lt;&gt;"",Åtgärdslista32[[#This Row],[Kolumn5]],"-")</f>
        <v>160</v>
      </c>
    </row>
    <row r="20" spans="1:23" s="13" customFormat="1" ht="15.6" x14ac:dyDescent="0.3">
      <c r="A20"/>
      <c r="B20" s="25">
        <v>4</v>
      </c>
      <c r="C20" s="26" t="str">
        <f>IF(VLOOKUP(Åtgärdslista32[[#This Row],[Kolumn3]],Åtgärdslista3[[Kolumn3]:[Kolumn5]],2,FALSE)="","",VLOOKUP(Åtgärdslista32[[#This Row],[Kolumn3]],Åtgärdslista3[[Kolumn3]:[Kolumn5]],2,FALSE))</f>
        <v>Björken 10</v>
      </c>
      <c r="D20" s="26" t="str">
        <f>IF(VLOOKUP(Åtgärdslista32[[#This Row],[Kolumn3]],Åtgärdslista3[[Kolumn3]:[Kolumn5]],3,FALSE)="","",VLOOKUP(Åtgärdslista32[[#This Row],[Kolumn3]],Åtgärdslista3[[Kolumn3]:[Kolumn5]],3,FALSE))</f>
        <v>El</v>
      </c>
      <c r="E20" s="12" t="str">
        <f>IF(VLOOKUP(Åtgärdslista32[[#This Row],[Kolumn3]],Åtgärdslista3[[Kolumn3]:[Kolumn5]],4,FALSE)="","",VLOOKUP(Åtgärdslista32[[#This Row],[Kolumn3]],Åtgärdslista3[[Kolumn3]:[Kolumn5]],4,FALSE))</f>
        <v>Solceller</v>
      </c>
      <c r="F20" s="215" t="s">
        <v>26</v>
      </c>
      <c r="G20" s="177">
        <f>IF(Åtgärdslista32[[#This Row],[Kolumn42]]="ja",VLOOKUP(Åtgärdslista32[[#This Row],[Kolumn3]],Åtgärdslista3[[Kolumn3]:[Kolumn5]],19,FALSE),"-")</f>
        <v>9.9</v>
      </c>
      <c r="H20" s="178">
        <f>IF(Åtgärdslista32[[#This Row],[Kolumn42]]="ja",VLOOKUP(Åtgärdslista32[[#This Row],[Kolumn3]],Åtgärdslista3[[Kolumn3]:[Kolumn5]],20,FALSE),"-")</f>
        <v>150</v>
      </c>
      <c r="I20" s="178">
        <f>IFERROR(Åtgärdslista32[[#This Row],[Kolumn5]]/Åtgärdslista32[[#This Row],[Kolumn11]],"-")</f>
        <v>15.15151515151515</v>
      </c>
      <c r="J20" s="197">
        <f>IF(Åtgärdslista32[[#This Row],[Kolumn33]]="","",IFERROR(VLOOKUP(Åtgärdslista32[[#This Row],[Kolumn33]],'Nuvärdesberäkning år'!$C$3:$D$23,2,FALSE),"Kategori saknas"))</f>
        <v>15</v>
      </c>
      <c r="K20" s="45">
        <f t="shared" si="1"/>
        <v>-31.814442640916852</v>
      </c>
      <c r="L20" s="146" t="s">
        <v>114</v>
      </c>
      <c r="M20" s="77" t="s">
        <v>114</v>
      </c>
      <c r="N20" s="77" t="s">
        <v>114</v>
      </c>
      <c r="O20" s="147" t="s">
        <v>114</v>
      </c>
      <c r="P20" s="143">
        <f>IF(Åtgärdslista32[[#This Row],[Kolumn1]]&lt;&gt;"",Åtgärdslista32[[#This Row],[Kolumn11]],"-")</f>
        <v>9.9</v>
      </c>
      <c r="Q20" s="135">
        <f>IF(Åtgärdslista32[[#This Row],[Kolumn1]]&lt;&gt;"",Åtgärdslista32[[#This Row],[Kolumn5]],"-")</f>
        <v>150</v>
      </c>
      <c r="R20" s="135">
        <f>IF(Åtgärdslista32[[#This Row],[Kolumn6]]&lt;&gt;"",Åtgärdslista32[[#This Row],[Kolumn11]],"-")</f>
        <v>9.9</v>
      </c>
      <c r="S20" s="135">
        <f>IF(Åtgärdslista32[[#This Row],[Kolumn22]]&lt;&gt;"",Åtgärdslista32[[#This Row],[Kolumn5]],"-")</f>
        <v>150</v>
      </c>
      <c r="T20" s="135">
        <f>IF(Åtgärdslista32[[#This Row],[Kolumn22]]&lt;&gt;"",Åtgärdslista32[[#This Row],[Kolumn11]],"-")</f>
        <v>9.9</v>
      </c>
      <c r="U20" s="135">
        <f>IF(Åtgärdslista32[[#This Row],[Kolumn22]]&lt;&gt;"",Åtgärdslista32[[#This Row],[Kolumn5]],"-")</f>
        <v>150</v>
      </c>
      <c r="V20" s="135">
        <f>IF(Åtgärdslista32[[#This Row],[Kolumn43]]&lt;&gt;"",Åtgärdslista32[[#This Row],[Kolumn11]],"-")</f>
        <v>9.9</v>
      </c>
      <c r="W20" s="135">
        <f>IF(Åtgärdslista32[[#This Row],[Kolumn43]]&lt;&gt;"",Åtgärdslista32[[#This Row],[Kolumn5]],"-")</f>
        <v>150</v>
      </c>
    </row>
    <row r="21" spans="1:23" s="13" customFormat="1" ht="15.6" x14ac:dyDescent="0.3">
      <c r="A21"/>
      <c r="B21" s="25">
        <v>5</v>
      </c>
      <c r="C21" s="26" t="str">
        <f>IF(VLOOKUP(Åtgärdslista32[[#This Row],[Kolumn3]],Åtgärdslista3[[Kolumn3]:[Kolumn5]],2,FALSE)="","",VLOOKUP(Åtgärdslista32[[#This Row],[Kolumn3]],Åtgärdslista3[[Kolumn3]:[Kolumn5]],2,FALSE))</f>
        <v>Linden 16</v>
      </c>
      <c r="D21" s="26" t="str">
        <f>IF(VLOOKUP(Åtgärdslista32[[#This Row],[Kolumn3]],Åtgärdslista3[[Kolumn3]:[Kolumn5]],3,FALSE)="","",VLOOKUP(Åtgärdslista32[[#This Row],[Kolumn3]],Åtgärdslista3[[Kolumn3]:[Kolumn5]],3,FALSE))</f>
        <v>Ventilation</v>
      </c>
      <c r="E21" s="12" t="str">
        <f>IF(VLOOKUP(Åtgärdslista32[[#This Row],[Kolumn3]],Åtgärdslista3[[Kolumn3]:[Kolumn5]],4,FALSE)="","",VLOOKUP(Åtgärdslista32[[#This Row],[Kolumn3]],Åtgärdslista3[[Kolumn3]:[Kolumn5]],4,FALSE))</f>
        <v>Nytt FTX-aggreagt</v>
      </c>
      <c r="F21" s="215" t="s">
        <v>26</v>
      </c>
      <c r="G21" s="177">
        <f>IF(Åtgärdslista32[[#This Row],[Kolumn42]]="ja",VLOOKUP(Åtgärdslista32[[#This Row],[Kolumn3]],Åtgärdslista3[[Kolumn3]:[Kolumn5]],19,FALSE),"-")</f>
        <v>3.6589999999999998</v>
      </c>
      <c r="H21" s="178">
        <f>IF(Åtgärdslista32[[#This Row],[Kolumn42]]="ja",VLOOKUP(Åtgärdslista32[[#This Row],[Kolumn3]],Åtgärdslista3[[Kolumn3]:[Kolumn5]],20,FALSE),"-")</f>
        <v>80</v>
      </c>
      <c r="I21" s="178">
        <f>IFERROR(Åtgärdslista32[[#This Row],[Kolumn5]]/Åtgärdslista32[[#This Row],[Kolumn11]],"-")</f>
        <v>21.863897239682974</v>
      </c>
      <c r="J21" s="197">
        <f>IF(Åtgärdslista32[[#This Row],[Kolumn33]]="","",IFERROR(VLOOKUP(Åtgärdslista32[[#This Row],[Kolumn33]],'Nuvärdesberäkning år'!$C$3:$D$23,2,FALSE),"Kategori saknas"))</f>
        <v>20</v>
      </c>
      <c r="K21" s="45">
        <f t="shared" si="1"/>
        <v>-25.563319485593333</v>
      </c>
      <c r="L21" s="146"/>
      <c r="M21" s="77"/>
      <c r="N21" s="77"/>
      <c r="O21" s="147"/>
      <c r="P21" s="143" t="str">
        <f>IF(Åtgärdslista32[[#This Row],[Kolumn1]]&lt;&gt;"",Åtgärdslista32[[#This Row],[Kolumn11]],"-")</f>
        <v>-</v>
      </c>
      <c r="Q21" s="135" t="str">
        <f>IF(Åtgärdslista32[[#This Row],[Kolumn1]]&lt;&gt;"",Åtgärdslista32[[#This Row],[Kolumn5]],"-")</f>
        <v>-</v>
      </c>
      <c r="R21" s="135" t="str">
        <f>IF(Åtgärdslista32[[#This Row],[Kolumn6]]&lt;&gt;"",Åtgärdslista32[[#This Row],[Kolumn11]],"-")</f>
        <v>-</v>
      </c>
      <c r="S21" s="135" t="str">
        <f>IF(Åtgärdslista32[[#This Row],[Kolumn22]]&lt;&gt;"",Åtgärdslista32[[#This Row],[Kolumn5]],"-")</f>
        <v>-</v>
      </c>
      <c r="T21" s="135" t="str">
        <f>IF(Åtgärdslista32[[#This Row],[Kolumn22]]&lt;&gt;"",Åtgärdslista32[[#This Row],[Kolumn11]],"-")</f>
        <v>-</v>
      </c>
      <c r="U21" s="135" t="str">
        <f>IF(Åtgärdslista32[[#This Row],[Kolumn22]]&lt;&gt;"",Åtgärdslista32[[#This Row],[Kolumn5]],"-")</f>
        <v>-</v>
      </c>
      <c r="V21" s="135" t="str">
        <f>IF(Åtgärdslista32[[#This Row],[Kolumn43]]&lt;&gt;"",Åtgärdslista32[[#This Row],[Kolumn11]],"-")</f>
        <v>-</v>
      </c>
      <c r="W21" s="135" t="str">
        <f>IF(Åtgärdslista32[[#This Row],[Kolumn43]]&lt;&gt;"",Åtgärdslista32[[#This Row],[Kolumn5]],"-")</f>
        <v>-</v>
      </c>
    </row>
    <row r="22" spans="1:23" s="13" customFormat="1" ht="15.6" x14ac:dyDescent="0.3">
      <c r="A22"/>
      <c r="B22" s="25">
        <v>6</v>
      </c>
      <c r="C22" s="26" t="str">
        <f>IF(VLOOKUP(Åtgärdslista32[[#This Row],[Kolumn3]],Åtgärdslista3[[Kolumn3]:[Kolumn5]],2,FALSE)="","",VLOOKUP(Åtgärdslista32[[#This Row],[Kolumn3]],Åtgärdslista3[[Kolumn3]:[Kolumn5]],2,FALSE))</f>
        <v>Göken 21</v>
      </c>
      <c r="D22" s="26" t="str">
        <f>IF(VLOOKUP(Åtgärdslista32[[#This Row],[Kolumn3]],Åtgärdslista3[[Kolumn3]:[Kolumn5]],3,FALSE)="","",VLOOKUP(Åtgärdslista32[[#This Row],[Kolumn3]],Åtgärdslista3[[Kolumn3]:[Kolumn5]],3,FALSE))</f>
        <v>Värme</v>
      </c>
      <c r="E22" s="12" t="str">
        <f>IF(VLOOKUP(Åtgärdslista32[[#This Row],[Kolumn3]],Åtgärdslista3[[Kolumn3]:[Kolumn5]],4,FALSE)="","",VLOOKUP(Åtgärdslista32[[#This Row],[Kolumn3]],Åtgärdslista3[[Kolumn3]:[Kolumn5]],4,FALSE))</f>
        <v>Ny fjv-central</v>
      </c>
      <c r="F22" s="215" t="s">
        <v>26</v>
      </c>
      <c r="G22" s="177">
        <f>IF(Åtgärdslista32[[#This Row],[Kolumn42]]="ja",VLOOKUP(Åtgärdslista32[[#This Row],[Kolumn3]],Åtgärdslista3[[Kolumn3]:[Kolumn5]],19,FALSE),"-")</f>
        <v>331.69000000000017</v>
      </c>
      <c r="H22" s="178">
        <f>IF(Åtgärdslista32[[#This Row],[Kolumn42]]="ja",VLOOKUP(Åtgärdslista32[[#This Row],[Kolumn3]],Åtgärdslista3[[Kolumn3]:[Kolumn5]],20,FALSE),"-")</f>
        <v>1980</v>
      </c>
      <c r="I22" s="178">
        <f>IFERROR(Åtgärdslista32[[#This Row],[Kolumn5]]/Åtgärdslista32[[#This Row],[Kolumn11]],"-")</f>
        <v>5.9694292863818594</v>
      </c>
      <c r="J22" s="197">
        <f>IF(Åtgärdslista32[[#This Row],[Kolumn33]]="","",IFERROR(VLOOKUP(Åtgärdslista32[[#This Row],[Kolumn33]],'Nuvärdesberäkning år'!$C$3:$D$23,2,FALSE),"Kategori saknas"))</f>
        <v>20</v>
      </c>
      <c r="K22" s="45">
        <f t="shared" si="1"/>
        <v>2954.7096364644876</v>
      </c>
      <c r="L22" s="146"/>
      <c r="M22" s="77"/>
      <c r="N22" s="77"/>
      <c r="O22" s="147"/>
      <c r="P22" s="143" t="str">
        <f>IF(Åtgärdslista32[[#This Row],[Kolumn1]]&lt;&gt;"",Åtgärdslista32[[#This Row],[Kolumn11]],"-")</f>
        <v>-</v>
      </c>
      <c r="Q22" s="135" t="str">
        <f>IF(Åtgärdslista32[[#This Row],[Kolumn1]]&lt;&gt;"",Åtgärdslista32[[#This Row],[Kolumn5]],"-")</f>
        <v>-</v>
      </c>
      <c r="R22" s="135" t="str">
        <f>IF(Åtgärdslista32[[#This Row],[Kolumn6]]&lt;&gt;"",Åtgärdslista32[[#This Row],[Kolumn11]],"-")</f>
        <v>-</v>
      </c>
      <c r="S22" s="135" t="str">
        <f>IF(Åtgärdslista32[[#This Row],[Kolumn22]]&lt;&gt;"",Åtgärdslista32[[#This Row],[Kolumn5]],"-")</f>
        <v>-</v>
      </c>
      <c r="T22" s="135" t="str">
        <f>IF(Åtgärdslista32[[#This Row],[Kolumn22]]&lt;&gt;"",Åtgärdslista32[[#This Row],[Kolumn11]],"-")</f>
        <v>-</v>
      </c>
      <c r="U22" s="135" t="str">
        <f>IF(Åtgärdslista32[[#This Row],[Kolumn22]]&lt;&gt;"",Åtgärdslista32[[#This Row],[Kolumn5]],"-")</f>
        <v>-</v>
      </c>
      <c r="V22" s="135" t="str">
        <f>IF(Åtgärdslista32[[#This Row],[Kolumn43]]&lt;&gt;"",Åtgärdslista32[[#This Row],[Kolumn11]],"-")</f>
        <v>-</v>
      </c>
      <c r="W22" s="135" t="str">
        <f>IF(Åtgärdslista32[[#This Row],[Kolumn43]]&lt;&gt;"",Åtgärdslista32[[#This Row],[Kolumn5]],"-")</f>
        <v>-</v>
      </c>
    </row>
    <row r="23" spans="1:23" s="13" customFormat="1" ht="15.6" x14ac:dyDescent="0.3">
      <c r="A23"/>
      <c r="B23" s="25">
        <v>7</v>
      </c>
      <c r="C23" s="26" t="str">
        <f>IF(VLOOKUP(Åtgärdslista32[[#This Row],[Kolumn3]],Åtgärdslista3[[Kolumn3]:[Kolumn5]],2,FALSE)="","",VLOOKUP(Åtgärdslista32[[#This Row],[Kolumn3]],Åtgärdslista3[[Kolumn3]:[Kolumn5]],2,FALSE))</f>
        <v>Göken 21</v>
      </c>
      <c r="D23" s="26" t="str">
        <f>IF(VLOOKUP(Åtgärdslista32[[#This Row],[Kolumn3]],Åtgärdslista3[[Kolumn3]:[Kolumn5]],3,FALSE)="","",VLOOKUP(Åtgärdslista32[[#This Row],[Kolumn3]],Åtgärdslista3[[Kolumn3]:[Kolumn5]],3,FALSE))</f>
        <v>Värme</v>
      </c>
      <c r="E23" s="12" t="str">
        <f>IF(VLOOKUP(Åtgärdslista32[[#This Row],[Kolumn3]],Åtgärdslista3[[Kolumn3]:[Kolumn5]],4,FALSE)="","",VLOOKUP(Åtgärdslista32[[#This Row],[Kolumn3]],Åtgärdslista3[[Kolumn3]:[Kolumn5]],4,FALSE))</f>
        <v>Styrning av elradiatorer</v>
      </c>
      <c r="F23" s="215" t="s">
        <v>26</v>
      </c>
      <c r="G23" s="177">
        <f>IF(Åtgärdslista32[[#This Row],[Kolumn42]]="ja",VLOOKUP(Åtgärdslista32[[#This Row],[Kolumn3]],Åtgärdslista3[[Kolumn3]:[Kolumn5]],19,FALSE),"-")</f>
        <v>15.87</v>
      </c>
      <c r="H23" s="178">
        <f>IF(Åtgärdslista32[[#This Row],[Kolumn42]]="ja",VLOOKUP(Åtgärdslista32[[#This Row],[Kolumn3]],Åtgärdslista3[[Kolumn3]:[Kolumn5]],20,FALSE),"-")</f>
        <v>360</v>
      </c>
      <c r="I23" s="178">
        <f>IFERROR(Åtgärdslista32[[#This Row],[Kolumn5]]/Åtgärdslista32[[#This Row],[Kolumn11]],"-")</f>
        <v>22.684310018903592</v>
      </c>
      <c r="J23" s="197">
        <f>IF(Åtgärdslista32[[#This Row],[Kolumn33]]="","",IFERROR(VLOOKUP(Åtgärdslista32[[#This Row],[Kolumn33]],'Nuvärdesberäkning år'!$C$3:$D$23,2,FALSE),"Kategori saknas"))</f>
        <v>20</v>
      </c>
      <c r="K23" s="45">
        <f t="shared" si="1"/>
        <v>-123.89447396457123</v>
      </c>
      <c r="L23" s="146"/>
      <c r="M23" s="77"/>
      <c r="N23" s="77"/>
      <c r="O23" s="147"/>
      <c r="P23" s="143" t="str">
        <f>IF(Åtgärdslista32[[#This Row],[Kolumn1]]&lt;&gt;"",Åtgärdslista32[[#This Row],[Kolumn11]],"-")</f>
        <v>-</v>
      </c>
      <c r="Q23" s="135" t="str">
        <f>IF(Åtgärdslista32[[#This Row],[Kolumn1]]&lt;&gt;"",Åtgärdslista32[[#This Row],[Kolumn5]],"-")</f>
        <v>-</v>
      </c>
      <c r="R23" s="135" t="str">
        <f>IF(Åtgärdslista32[[#This Row],[Kolumn6]]&lt;&gt;"",Åtgärdslista32[[#This Row],[Kolumn11]],"-")</f>
        <v>-</v>
      </c>
      <c r="S23" s="135" t="str">
        <f>IF(Åtgärdslista32[[#This Row],[Kolumn22]]&lt;&gt;"",Åtgärdslista32[[#This Row],[Kolumn5]],"-")</f>
        <v>-</v>
      </c>
      <c r="T23" s="135" t="str">
        <f>IF(Åtgärdslista32[[#This Row],[Kolumn22]]&lt;&gt;"",Åtgärdslista32[[#This Row],[Kolumn11]],"-")</f>
        <v>-</v>
      </c>
      <c r="U23" s="135" t="str">
        <f>IF(Åtgärdslista32[[#This Row],[Kolumn22]]&lt;&gt;"",Åtgärdslista32[[#This Row],[Kolumn5]],"-")</f>
        <v>-</v>
      </c>
      <c r="V23" s="135" t="str">
        <f>IF(Åtgärdslista32[[#This Row],[Kolumn43]]&lt;&gt;"",Åtgärdslista32[[#This Row],[Kolumn11]],"-")</f>
        <v>-</v>
      </c>
      <c r="W23" s="135" t="str">
        <f>IF(Åtgärdslista32[[#This Row],[Kolumn43]]&lt;&gt;"",Åtgärdslista32[[#This Row],[Kolumn5]],"-")</f>
        <v>-</v>
      </c>
    </row>
    <row r="24" spans="1:23" s="13" customFormat="1" ht="15.6" x14ac:dyDescent="0.3">
      <c r="A24"/>
      <c r="B24" s="25">
        <v>8</v>
      </c>
      <c r="C24" s="26" t="str">
        <f>IF(VLOOKUP(Åtgärdslista32[[#This Row],[Kolumn3]],Åtgärdslista3[[Kolumn3]:[Kolumn5]],2,FALSE)="","",VLOOKUP(Åtgärdslista32[[#This Row],[Kolumn3]],Åtgärdslista3[[Kolumn3]:[Kolumn5]],2,FALSE))</f>
        <v>Göken 21</v>
      </c>
      <c r="D24" s="26" t="str">
        <f>IF(VLOOKUP(Åtgärdslista32[[#This Row],[Kolumn3]],Åtgärdslista3[[Kolumn3]:[Kolumn5]],3,FALSE)="","",VLOOKUP(Åtgärdslista32[[#This Row],[Kolumn3]],Åtgärdslista3[[Kolumn3]:[Kolumn5]],3,FALSE))</f>
        <v>Värme</v>
      </c>
      <c r="E24" s="12" t="str">
        <f>IF(VLOOKUP(Åtgärdslista32[[#This Row],[Kolumn3]],Åtgärdslista3[[Kolumn3]:[Kolumn5]],4,FALSE)="","",VLOOKUP(Åtgärdslista32[[#This Row],[Kolumn3]],Åtgärdslista3[[Kolumn3]:[Kolumn5]],4,FALSE))</f>
        <v>Frånluftsvärmepump &amp; elradiatorer</v>
      </c>
      <c r="F24" s="215" t="s">
        <v>26</v>
      </c>
      <c r="G24" s="177">
        <f>IF(Åtgärdslista32[[#This Row],[Kolumn42]]="ja",VLOOKUP(Åtgärdslista32[[#This Row],[Kolumn3]],Åtgärdslista3[[Kolumn3]:[Kolumn5]],19,FALSE),"-")</f>
        <v>109.60999999999996</v>
      </c>
      <c r="H24" s="178">
        <f>IF(Åtgärdslista32[[#This Row],[Kolumn42]]="ja",VLOOKUP(Åtgärdslista32[[#This Row],[Kolumn3]],Åtgärdslista3[[Kolumn3]:[Kolumn5]],20,FALSE),"-")</f>
        <v>1700</v>
      </c>
      <c r="I24" s="178">
        <f>IFERROR(Åtgärdslista32[[#This Row],[Kolumn5]]/Åtgärdslista32[[#This Row],[Kolumn11]],"-")</f>
        <v>15.509533801660439</v>
      </c>
      <c r="J24" s="197">
        <f>IF(Åtgärdslista32[[#This Row],[Kolumn33]]="","",IFERROR(VLOOKUP(Åtgärdslista32[[#This Row],[Kolumn33]],'Nuvärdesberäkning år'!$C$3:$D$23,2,FALSE),"Kategori saknas"))</f>
        <v>20</v>
      </c>
      <c r="K24" s="45">
        <f t="shared" si="1"/>
        <v>-69.279980545473336</v>
      </c>
      <c r="L24" s="146" t="s">
        <v>114</v>
      </c>
      <c r="M24" s="77" t="s">
        <v>114</v>
      </c>
      <c r="N24" s="77"/>
      <c r="O24" s="147"/>
      <c r="P24" s="143">
        <f>IF(Åtgärdslista32[[#This Row],[Kolumn1]]&lt;&gt;"",Åtgärdslista32[[#This Row],[Kolumn11]],"-")</f>
        <v>109.60999999999996</v>
      </c>
      <c r="Q24" s="135">
        <f>IF(Åtgärdslista32[[#This Row],[Kolumn1]]&lt;&gt;"",Åtgärdslista32[[#This Row],[Kolumn5]],"-")</f>
        <v>1700</v>
      </c>
      <c r="R24" s="135">
        <f>IF(Åtgärdslista32[[#This Row],[Kolumn6]]&lt;&gt;"",Åtgärdslista32[[#This Row],[Kolumn11]],"-")</f>
        <v>109.60999999999996</v>
      </c>
      <c r="S24" s="135" t="str">
        <f>IF(Åtgärdslista32[[#This Row],[Kolumn22]]&lt;&gt;"",Åtgärdslista32[[#This Row],[Kolumn5]],"-")</f>
        <v>-</v>
      </c>
      <c r="T24" s="135" t="str">
        <f>IF(Åtgärdslista32[[#This Row],[Kolumn22]]&lt;&gt;"",Åtgärdslista32[[#This Row],[Kolumn11]],"-")</f>
        <v>-</v>
      </c>
      <c r="U24" s="135" t="str">
        <f>IF(Åtgärdslista32[[#This Row],[Kolumn22]]&lt;&gt;"",Åtgärdslista32[[#This Row],[Kolumn5]],"-")</f>
        <v>-</v>
      </c>
      <c r="V24" s="135" t="str">
        <f>IF(Åtgärdslista32[[#This Row],[Kolumn43]]&lt;&gt;"",Åtgärdslista32[[#This Row],[Kolumn11]],"-")</f>
        <v>-</v>
      </c>
      <c r="W24" s="135" t="str">
        <f>IF(Åtgärdslista32[[#This Row],[Kolumn43]]&lt;&gt;"",Åtgärdslista32[[#This Row],[Kolumn5]],"-")</f>
        <v>-</v>
      </c>
    </row>
    <row r="25" spans="1:23" s="13" customFormat="1" ht="15.6" x14ac:dyDescent="0.3">
      <c r="A25"/>
      <c r="B25" s="25">
        <v>9</v>
      </c>
      <c r="C25" s="26" t="str">
        <f>IF(VLOOKUP(Åtgärdslista32[[#This Row],[Kolumn3]],Åtgärdslista3[[Kolumn3]:[Kolumn5]],2,FALSE)="","",VLOOKUP(Åtgärdslista32[[#This Row],[Kolumn3]],Åtgärdslista3[[Kolumn3]:[Kolumn5]],2,FALSE))</f>
        <v>Göken 21</v>
      </c>
      <c r="D25" s="26" t="str">
        <f>IF(VLOOKUP(Åtgärdslista32[[#This Row],[Kolumn3]],Åtgärdslista3[[Kolumn3]:[Kolumn5]],3,FALSE)="","",VLOOKUP(Åtgärdslista32[[#This Row],[Kolumn3]],Åtgärdslista3[[Kolumn3]:[Kolumn5]],3,FALSE))</f>
        <v>El</v>
      </c>
      <c r="E25" s="12" t="str">
        <f>IF(VLOOKUP(Åtgärdslista32[[#This Row],[Kolumn3]],Åtgärdslista3[[Kolumn3]:[Kolumn5]],4,FALSE)="","",VLOOKUP(Åtgärdslista32[[#This Row],[Kolumn3]],Åtgärdslista3[[Kolumn3]:[Kolumn5]],4,FALSE))</f>
        <v>Solceller</v>
      </c>
      <c r="F25" s="215" t="s">
        <v>26</v>
      </c>
      <c r="G25" s="177">
        <f>IF(Åtgärdslista32[[#This Row],[Kolumn42]]="ja",VLOOKUP(Åtgärdslista32[[#This Row],[Kolumn3]],Åtgärdslista3[[Kolumn3]:[Kolumn5]],19,FALSE),"-")</f>
        <v>19.8</v>
      </c>
      <c r="H25" s="178">
        <f>IF(Åtgärdslista32[[#This Row],[Kolumn42]]="ja",VLOOKUP(Åtgärdslista32[[#This Row],[Kolumn3]],Åtgärdslista3[[Kolumn3]:[Kolumn5]],20,FALSE),"-")</f>
        <v>250</v>
      </c>
      <c r="I25" s="178">
        <f>IFERROR(Åtgärdslista32[[#This Row],[Kolumn5]]/Åtgärdslista32[[#This Row],[Kolumn11]],"-")</f>
        <v>12.626262626262626</v>
      </c>
      <c r="J25" s="197">
        <f>IF(Åtgärdslista32[[#This Row],[Kolumn33]]="","",IFERROR(VLOOKUP(Åtgärdslista32[[#This Row],[Kolumn33]],'Nuvärdesberäkning år'!$C$3:$D$23,2,FALSE),"Kategori saknas"))</f>
        <v>15</v>
      </c>
      <c r="K25" s="45">
        <f t="shared" si="1"/>
        <v>-13.628885281833703</v>
      </c>
      <c r="L25" s="146" t="s">
        <v>114</v>
      </c>
      <c r="M25" s="77" t="s">
        <v>114</v>
      </c>
      <c r="N25" s="77" t="s">
        <v>114</v>
      </c>
      <c r="O25" s="147"/>
      <c r="P25" s="143">
        <f>IF(Åtgärdslista32[[#This Row],[Kolumn1]]&lt;&gt;"",Åtgärdslista32[[#This Row],[Kolumn11]],"-")</f>
        <v>19.8</v>
      </c>
      <c r="Q25" s="135">
        <f>IF(Åtgärdslista32[[#This Row],[Kolumn1]]&lt;&gt;"",Åtgärdslista32[[#This Row],[Kolumn5]],"-")</f>
        <v>250</v>
      </c>
      <c r="R25" s="135">
        <f>IF(Åtgärdslista32[[#This Row],[Kolumn6]]&lt;&gt;"",Åtgärdslista32[[#This Row],[Kolumn11]],"-")</f>
        <v>19.8</v>
      </c>
      <c r="S25" s="135">
        <f>IF(Åtgärdslista32[[#This Row],[Kolumn22]]&lt;&gt;"",Åtgärdslista32[[#This Row],[Kolumn5]],"-")</f>
        <v>250</v>
      </c>
      <c r="T25" s="135">
        <f>IF(Åtgärdslista32[[#This Row],[Kolumn22]]&lt;&gt;"",Åtgärdslista32[[#This Row],[Kolumn11]],"-")</f>
        <v>19.8</v>
      </c>
      <c r="U25" s="135">
        <f>IF(Åtgärdslista32[[#This Row],[Kolumn22]]&lt;&gt;"",Åtgärdslista32[[#This Row],[Kolumn5]],"-")</f>
        <v>250</v>
      </c>
      <c r="V25" s="135" t="str">
        <f>IF(Åtgärdslista32[[#This Row],[Kolumn43]]&lt;&gt;"",Åtgärdslista32[[#This Row],[Kolumn11]],"-")</f>
        <v>-</v>
      </c>
      <c r="W25" s="135" t="str">
        <f>IF(Åtgärdslista32[[#This Row],[Kolumn43]]&lt;&gt;"",Åtgärdslista32[[#This Row],[Kolumn5]],"-")</f>
        <v>-</v>
      </c>
    </row>
    <row r="26" spans="1:23" s="13" customFormat="1" ht="15.6" x14ac:dyDescent="0.3">
      <c r="A26"/>
      <c r="B26" s="25">
        <v>10</v>
      </c>
      <c r="C26" s="26" t="str">
        <f>IF(VLOOKUP(Åtgärdslista32[[#This Row],[Kolumn3]],Åtgärdslista3[[Kolumn3]:[Kolumn5]],2,FALSE)="","",VLOOKUP(Åtgärdslista32[[#This Row],[Kolumn3]],Åtgärdslista3[[Kolumn3]:[Kolumn5]],2,FALSE))</f>
        <v>Göken 21</v>
      </c>
      <c r="D26" s="26" t="str">
        <f>IF(VLOOKUP(Åtgärdslista32[[#This Row],[Kolumn3]],Åtgärdslista3[[Kolumn3]:[Kolumn5]],3,FALSE)="","",VLOOKUP(Åtgärdslista32[[#This Row],[Kolumn3]],Åtgärdslista3[[Kolumn3]:[Kolumn5]],3,FALSE))</f>
        <v>Värme</v>
      </c>
      <c r="E26" s="12" t="str">
        <f>IF(VLOOKUP(Åtgärdslista32[[#This Row],[Kolumn3]],Åtgärdslista3[[Kolumn3]:[Kolumn5]],4,FALSE)="","",VLOOKUP(Åtgärdslista32[[#This Row],[Kolumn3]],Åtgärdslista3[[Kolumn3]:[Kolumn5]],4,FALSE))</f>
        <v>Tilläggsisolering vind</v>
      </c>
      <c r="F26" s="215" t="s">
        <v>26</v>
      </c>
      <c r="G26" s="177">
        <f>IF(Åtgärdslista32[[#This Row],[Kolumn42]]="ja",VLOOKUP(Åtgärdslista32[[#This Row],[Kolumn3]],Åtgärdslista3[[Kolumn3]:[Kolumn5]],19,FALSE),"-")</f>
        <v>8.2799999999999994</v>
      </c>
      <c r="H26" s="178">
        <f>IF(Åtgärdslista32[[#This Row],[Kolumn42]]="ja",VLOOKUP(Åtgärdslista32[[#This Row],[Kolumn3]],Åtgärdslista3[[Kolumn3]:[Kolumn5]],20,FALSE),"-")</f>
        <v>92</v>
      </c>
      <c r="I26" s="178">
        <f>IFERROR(Åtgärdslista32[[#This Row],[Kolumn5]]/Åtgärdslista32[[#This Row],[Kolumn11]],"-")</f>
        <v>11.111111111111112</v>
      </c>
      <c r="J26" s="197">
        <f>IF(Åtgärdslista32[[#This Row],[Kolumn33]]="","",IFERROR(VLOOKUP(Åtgärdslista32[[#This Row],[Kolumn33]],'Nuvärdesberäkning år'!$C$3:$D$23,2,FALSE),"Kategori saknas"))</f>
        <v>20</v>
      </c>
      <c r="K26" s="45">
        <f t="shared" si="1"/>
        <v>31.185491844571516</v>
      </c>
      <c r="L26" s="146" t="s">
        <v>114</v>
      </c>
      <c r="M26" s="77" t="s">
        <v>114</v>
      </c>
      <c r="N26" s="77" t="s">
        <v>114</v>
      </c>
      <c r="O26" s="147" t="s">
        <v>114</v>
      </c>
      <c r="P26" s="143">
        <f>IF(Åtgärdslista32[[#This Row],[Kolumn1]]&lt;&gt;"",Åtgärdslista32[[#This Row],[Kolumn11]],"-")</f>
        <v>8.2799999999999994</v>
      </c>
      <c r="Q26" s="135">
        <f>IF(Åtgärdslista32[[#This Row],[Kolumn1]]&lt;&gt;"",Åtgärdslista32[[#This Row],[Kolumn5]],"-")</f>
        <v>92</v>
      </c>
      <c r="R26" s="135">
        <f>IF(Åtgärdslista32[[#This Row],[Kolumn6]]&lt;&gt;"",Åtgärdslista32[[#This Row],[Kolumn11]],"-")</f>
        <v>8.2799999999999994</v>
      </c>
      <c r="S26" s="135">
        <f>IF(Åtgärdslista32[[#This Row],[Kolumn22]]&lt;&gt;"",Åtgärdslista32[[#This Row],[Kolumn5]],"-")</f>
        <v>92</v>
      </c>
      <c r="T26" s="135">
        <f>IF(Åtgärdslista32[[#This Row],[Kolumn22]]&lt;&gt;"",Åtgärdslista32[[#This Row],[Kolumn11]],"-")</f>
        <v>8.2799999999999994</v>
      </c>
      <c r="U26" s="135">
        <f>IF(Åtgärdslista32[[#This Row],[Kolumn22]]&lt;&gt;"",Åtgärdslista32[[#This Row],[Kolumn5]],"-")</f>
        <v>92</v>
      </c>
      <c r="V26" s="135">
        <f>IF(Åtgärdslista32[[#This Row],[Kolumn43]]&lt;&gt;"",Åtgärdslista32[[#This Row],[Kolumn11]],"-")</f>
        <v>8.2799999999999994</v>
      </c>
      <c r="W26" s="135">
        <f>IF(Åtgärdslista32[[#This Row],[Kolumn43]]&lt;&gt;"",Åtgärdslista32[[#This Row],[Kolumn5]],"-")</f>
        <v>92</v>
      </c>
    </row>
    <row r="27" spans="1:23" s="13" customFormat="1" ht="15.6" x14ac:dyDescent="0.3">
      <c r="A27"/>
      <c r="B27" s="25">
        <v>11</v>
      </c>
      <c r="C27" s="26" t="str">
        <f>IF(VLOOKUP(Åtgärdslista32[[#This Row],[Kolumn3]],Åtgärdslista3[[Kolumn3]:[Kolumn5]],2,FALSE)="","",VLOOKUP(Åtgärdslista32[[#This Row],[Kolumn3]],Åtgärdslista3[[Kolumn3]:[Kolumn5]],2,FALSE))</f>
        <v>Göken 21</v>
      </c>
      <c r="D27" s="26" t="str">
        <f>IF(VLOOKUP(Åtgärdslista32[[#This Row],[Kolumn3]],Åtgärdslista3[[Kolumn3]:[Kolumn5]],3,FALSE)="","",VLOOKUP(Åtgärdslista32[[#This Row],[Kolumn3]],Åtgärdslista3[[Kolumn3]:[Kolumn5]],3,FALSE))</f>
        <v>Värme</v>
      </c>
      <c r="E27" s="12" t="str">
        <f>IF(VLOOKUP(Åtgärdslista32[[#This Row],[Kolumn3]],Åtgärdslista3[[Kolumn3]:[Kolumn5]],4,FALSE)="","",VLOOKUP(Åtgärdslista32[[#This Row],[Kolumn3]],Åtgärdslista3[[Kolumn3]:[Kolumn5]],4,FALSE))</f>
        <v>Ny Markvärmepump</v>
      </c>
      <c r="F27" s="215" t="s">
        <v>26</v>
      </c>
      <c r="G27" s="177">
        <f>IF(Åtgärdslista32[[#This Row],[Kolumn42]]="ja",VLOOKUP(Åtgärdslista32[[#This Row],[Kolumn3]],Åtgärdslista3[[Kolumn3]:[Kolumn5]],19,FALSE),"-")</f>
        <v>9.8399999999999963</v>
      </c>
      <c r="H27" s="178">
        <f>IF(Åtgärdslista32[[#This Row],[Kolumn42]]="ja",VLOOKUP(Åtgärdslista32[[#This Row],[Kolumn3]],Åtgärdslista3[[Kolumn3]:[Kolumn5]],20,FALSE),"-")</f>
        <v>80</v>
      </c>
      <c r="I27" s="178">
        <f>IFERROR(Åtgärdslista32[[#This Row],[Kolumn5]]/Åtgärdslista32[[#This Row],[Kolumn11]],"-")</f>
        <v>8.1300813008130106</v>
      </c>
      <c r="J27" s="197">
        <f>IF(Åtgärdslista32[[#This Row],[Kolumn33]]="","",IFERROR(VLOOKUP(Åtgärdslista32[[#This Row],[Kolumn33]],'Nuvärdesberäkning år'!$C$3:$D$23,2,FALSE),"Kategori saknas"))</f>
        <v>20</v>
      </c>
      <c r="K27" s="45">
        <f t="shared" si="1"/>
        <v>66.394352626882039</v>
      </c>
      <c r="L27" s="146"/>
      <c r="M27" s="77"/>
      <c r="N27" s="77" t="s">
        <v>114</v>
      </c>
      <c r="O27" s="147" t="s">
        <v>114</v>
      </c>
      <c r="P27" s="143" t="str">
        <f>IF(Åtgärdslista32[[#This Row],[Kolumn1]]&lt;&gt;"",Åtgärdslista32[[#This Row],[Kolumn11]],"-")</f>
        <v>-</v>
      </c>
      <c r="Q27" s="135" t="str">
        <f>IF(Åtgärdslista32[[#This Row],[Kolumn1]]&lt;&gt;"",Åtgärdslista32[[#This Row],[Kolumn5]],"-")</f>
        <v>-</v>
      </c>
      <c r="R27" s="135" t="str">
        <f>IF(Åtgärdslista32[[#This Row],[Kolumn6]]&lt;&gt;"",Åtgärdslista32[[#This Row],[Kolumn11]],"-")</f>
        <v>-</v>
      </c>
      <c r="S27" s="135">
        <f>IF(Åtgärdslista32[[#This Row],[Kolumn22]]&lt;&gt;"",Åtgärdslista32[[#This Row],[Kolumn5]],"-")</f>
        <v>80</v>
      </c>
      <c r="T27" s="135">
        <f>IF(Åtgärdslista32[[#This Row],[Kolumn22]]&lt;&gt;"",Åtgärdslista32[[#This Row],[Kolumn11]],"-")</f>
        <v>9.8399999999999963</v>
      </c>
      <c r="U27" s="135">
        <f>IF(Åtgärdslista32[[#This Row],[Kolumn22]]&lt;&gt;"",Åtgärdslista32[[#This Row],[Kolumn5]],"-")</f>
        <v>80</v>
      </c>
      <c r="V27" s="135">
        <f>IF(Åtgärdslista32[[#This Row],[Kolumn43]]&lt;&gt;"",Åtgärdslista32[[#This Row],[Kolumn11]],"-")</f>
        <v>9.8399999999999963</v>
      </c>
      <c r="W27" s="135">
        <f>IF(Åtgärdslista32[[#This Row],[Kolumn43]]&lt;&gt;"",Åtgärdslista32[[#This Row],[Kolumn5]],"-")</f>
        <v>80</v>
      </c>
    </row>
    <row r="28" spans="1:23" s="13" customFormat="1" ht="15.6" x14ac:dyDescent="0.3">
      <c r="A28"/>
      <c r="B28" s="25">
        <v>12</v>
      </c>
      <c r="C28" s="26" t="str">
        <f>IF(VLOOKUP(Åtgärdslista32[[#This Row],[Kolumn3]],Åtgärdslista3[[Kolumn3]:[Kolumn5]],2,FALSE)="","",VLOOKUP(Åtgärdslista32[[#This Row],[Kolumn3]],Åtgärdslista3[[Kolumn3]:[Kolumn5]],2,FALSE))</f>
        <v>Göken 21</v>
      </c>
      <c r="D28" s="26" t="str">
        <f>IF(VLOOKUP(Åtgärdslista32[[#This Row],[Kolumn3]],Åtgärdslista3[[Kolumn3]:[Kolumn5]],3,FALSE)="","",VLOOKUP(Åtgärdslista32[[#This Row],[Kolumn3]],Åtgärdslista3[[Kolumn3]:[Kolumn5]],3,FALSE))</f>
        <v>Värme</v>
      </c>
      <c r="E28" s="12" t="str">
        <f>IF(VLOOKUP(Åtgärdslista32[[#This Row],[Kolumn3]],Åtgärdslista3[[Kolumn3]:[Kolumn5]],4,FALSE)="","",VLOOKUP(Åtgärdslista32[[#This Row],[Kolumn3]],Åtgärdslista3[[Kolumn3]:[Kolumn5]],4,FALSE))</f>
        <v>Injustering av bef. Värmesystem</v>
      </c>
      <c r="F28" s="215" t="s">
        <v>26</v>
      </c>
      <c r="G28" s="177">
        <f>IF(Åtgärdslista32[[#This Row],[Kolumn42]]="ja",VLOOKUP(Åtgärdslista32[[#This Row],[Kolumn3]],Åtgärdslista3[[Kolumn3]:[Kolumn5]],19,FALSE),"-")</f>
        <v>0</v>
      </c>
      <c r="H28" s="178">
        <f>IF(Åtgärdslista32[[#This Row],[Kolumn42]]="ja",VLOOKUP(Åtgärdslista32[[#This Row],[Kolumn3]],Åtgärdslista3[[Kolumn3]:[Kolumn5]],20,FALSE),"-")</f>
        <v>350</v>
      </c>
      <c r="I28" s="178" t="str">
        <f>IFERROR(Åtgärdslista32[[#This Row],[Kolumn5]]/Åtgärdslista32[[#This Row],[Kolumn11]],"-")</f>
        <v>-</v>
      </c>
      <c r="J28" s="197">
        <f>IF(Åtgärdslista32[[#This Row],[Kolumn33]]="","",IFERROR(VLOOKUP(Åtgärdslista32[[#This Row],[Kolumn33]],'Nuvärdesberäkning år'!$C$3:$D$23,2,FALSE),"Kategori saknas"))</f>
        <v>20</v>
      </c>
      <c r="K28" s="45">
        <f t="shared" si="1"/>
        <v>-350</v>
      </c>
      <c r="L28" s="146"/>
      <c r="M28" s="77"/>
      <c r="N28" s="77"/>
      <c r="O28" s="147"/>
      <c r="P28" s="143" t="str">
        <f>IF(Åtgärdslista32[[#This Row],[Kolumn1]]&lt;&gt;"",Åtgärdslista32[[#This Row],[Kolumn11]],"-")</f>
        <v>-</v>
      </c>
      <c r="Q28" s="135" t="str">
        <f>IF(Åtgärdslista32[[#This Row],[Kolumn1]]&lt;&gt;"",Åtgärdslista32[[#This Row],[Kolumn5]],"-")</f>
        <v>-</v>
      </c>
      <c r="R28" s="135" t="str">
        <f>IF(Åtgärdslista32[[#This Row],[Kolumn6]]&lt;&gt;"",Åtgärdslista32[[#This Row],[Kolumn11]],"-")</f>
        <v>-</v>
      </c>
      <c r="S28" s="135" t="str">
        <f>IF(Åtgärdslista32[[#This Row],[Kolumn22]]&lt;&gt;"",Åtgärdslista32[[#This Row],[Kolumn5]],"-")</f>
        <v>-</v>
      </c>
      <c r="T28" s="135" t="str">
        <f>IF(Åtgärdslista32[[#This Row],[Kolumn22]]&lt;&gt;"",Åtgärdslista32[[#This Row],[Kolumn11]],"-")</f>
        <v>-</v>
      </c>
      <c r="U28" s="135" t="str">
        <f>IF(Åtgärdslista32[[#This Row],[Kolumn22]]&lt;&gt;"",Åtgärdslista32[[#This Row],[Kolumn5]],"-")</f>
        <v>-</v>
      </c>
      <c r="V28" s="135" t="str">
        <f>IF(Åtgärdslista32[[#This Row],[Kolumn43]]&lt;&gt;"",Åtgärdslista32[[#This Row],[Kolumn11]],"-")</f>
        <v>-</v>
      </c>
      <c r="W28" s="135" t="str">
        <f>IF(Åtgärdslista32[[#This Row],[Kolumn43]]&lt;&gt;"",Åtgärdslista32[[#This Row],[Kolumn5]],"-")</f>
        <v>-</v>
      </c>
    </row>
    <row r="29" spans="1:23" s="13" customFormat="1" ht="15.6" x14ac:dyDescent="0.3">
      <c r="A29"/>
      <c r="B29" s="25">
        <v>13</v>
      </c>
      <c r="C29" s="26" t="str">
        <f>IF(VLOOKUP(Åtgärdslista32[[#This Row],[Kolumn3]],Åtgärdslista3[[Kolumn3]:[Kolumn5]],2,FALSE)="","",VLOOKUP(Åtgärdslista32[[#This Row],[Kolumn3]],Åtgärdslista3[[Kolumn3]:[Kolumn5]],2,FALSE))</f>
        <v xml:space="preserve">Linden 13 </v>
      </c>
      <c r="D29" s="26" t="str">
        <f>IF(VLOOKUP(Åtgärdslista32[[#This Row],[Kolumn3]],Åtgärdslista3[[Kolumn3]:[Kolumn5]],3,FALSE)="","",VLOOKUP(Åtgärdslista32[[#This Row],[Kolumn3]],Åtgärdslista3[[Kolumn3]:[Kolumn5]],3,FALSE))</f>
        <v>Vattenspar</v>
      </c>
      <c r="E29" s="12" t="str">
        <f>IF(VLOOKUP(Åtgärdslista32[[#This Row],[Kolumn3]],Åtgärdslista3[[Kolumn3]:[Kolumn5]],4,FALSE)="","",VLOOKUP(Åtgärdslista32[[#This Row],[Kolumn3]],Åtgärdslista3[[Kolumn3]:[Kolumn5]],4,FALSE))</f>
        <v>Vattenspar</v>
      </c>
      <c r="F29" s="215" t="s">
        <v>26</v>
      </c>
      <c r="G29" s="177">
        <f>IF(Åtgärdslista32[[#This Row],[Kolumn42]]="ja",VLOOKUP(Åtgärdslista32[[#This Row],[Kolumn3]],Åtgärdslista3[[Kolumn3]:[Kolumn5]],19,FALSE),"-")</f>
        <v>2.2359999999999998</v>
      </c>
      <c r="H29" s="178">
        <f>IF(Åtgärdslista32[[#This Row],[Kolumn42]]="ja",VLOOKUP(Åtgärdslista32[[#This Row],[Kolumn3]],Åtgärdslista3[[Kolumn3]:[Kolumn5]],20,FALSE),"-")</f>
        <v>8.8000000000000007</v>
      </c>
      <c r="I29" s="178">
        <f>IFERROR(Åtgärdslista32[[#This Row],[Kolumn5]]/Åtgärdslista32[[#This Row],[Kolumn11]],"-")</f>
        <v>3.9355992844364946</v>
      </c>
      <c r="J29" s="197">
        <f>IF(Åtgärdslista32[[#This Row],[Kolumn33]]="","",IFERROR(VLOOKUP(Åtgärdslista32[[#This Row],[Kolumn33]],'Nuvärdesberäkning år'!$C$3:$D$23,2,FALSE),"Kategori saknas"))</f>
        <v>10</v>
      </c>
      <c r="K29" s="45">
        <f t="shared" si="1"/>
        <v>10.273533543030744</v>
      </c>
      <c r="L29" s="146"/>
      <c r="M29" s="77"/>
      <c r="N29" s="77"/>
      <c r="O29" s="148"/>
      <c r="P29" s="143" t="str">
        <f>IF(Åtgärdslista32[[#This Row],[Kolumn1]]&lt;&gt;"",Åtgärdslista32[[#This Row],[Kolumn11]],"-")</f>
        <v>-</v>
      </c>
      <c r="Q29" s="135" t="str">
        <f>IF(Åtgärdslista32[[#This Row],[Kolumn1]]&lt;&gt;"",Åtgärdslista32[[#This Row],[Kolumn5]],"-")</f>
        <v>-</v>
      </c>
      <c r="R29" s="135" t="str">
        <f>IF(Åtgärdslista32[[#This Row],[Kolumn6]]&lt;&gt;"",Åtgärdslista32[[#This Row],[Kolumn11]],"-")</f>
        <v>-</v>
      </c>
      <c r="S29" s="135" t="str">
        <f>IF(Åtgärdslista32[[#This Row],[Kolumn22]]&lt;&gt;"",Åtgärdslista32[[#This Row],[Kolumn5]],"-")</f>
        <v>-</v>
      </c>
      <c r="T29" s="135" t="str">
        <f>IF(Åtgärdslista32[[#This Row],[Kolumn22]]&lt;&gt;"",Åtgärdslista32[[#This Row],[Kolumn11]],"-")</f>
        <v>-</v>
      </c>
      <c r="U29" s="135" t="str">
        <f>IF(Åtgärdslista32[[#This Row],[Kolumn22]]&lt;&gt;"",Åtgärdslista32[[#This Row],[Kolumn5]],"-")</f>
        <v>-</v>
      </c>
      <c r="V29" s="135" t="str">
        <f>IF(Åtgärdslista32[[#This Row],[Kolumn43]]&lt;&gt;"",Åtgärdslista32[[#This Row],[Kolumn11]],"-")</f>
        <v>-</v>
      </c>
      <c r="W29" s="135" t="str">
        <f>IF(Åtgärdslista32[[#This Row],[Kolumn43]]&lt;&gt;"",Åtgärdslista32[[#This Row],[Kolumn5]],"-")</f>
        <v>-</v>
      </c>
    </row>
    <row r="30" spans="1:23" s="13" customFormat="1" ht="15.6" x14ac:dyDescent="0.3">
      <c r="A30"/>
      <c r="B30" s="25">
        <v>14</v>
      </c>
      <c r="C30" s="26" t="str">
        <f>IF(VLOOKUP(Åtgärdslista32[[#This Row],[Kolumn3]],Åtgärdslista3[[Kolumn3]:[Kolumn5]],2,FALSE)="","",VLOOKUP(Åtgärdslista32[[#This Row],[Kolumn3]],Åtgärdslista3[[Kolumn3]:[Kolumn5]],2,FALSE))</f>
        <v xml:space="preserve">Linden 13 </v>
      </c>
      <c r="D30" s="26" t="str">
        <f>IF(VLOOKUP(Åtgärdslista32[[#This Row],[Kolumn3]],Åtgärdslista3[[Kolumn3]:[Kolumn5]],3,FALSE)="","",VLOOKUP(Åtgärdslista32[[#This Row],[Kolumn3]],Åtgärdslista3[[Kolumn3]:[Kolumn5]],3,FALSE))</f>
        <v>Styr &amp; övervakning</v>
      </c>
      <c r="E30" s="12" t="str">
        <f>IF(VLOOKUP(Åtgärdslista32[[#This Row],[Kolumn3]],Åtgärdslista3[[Kolumn3]:[Kolumn5]],4,FALSE)="","",VLOOKUP(Åtgärdslista32[[#This Row],[Kolumn3]],Åtgärdslista3[[Kolumn3]:[Kolumn5]],4,FALSE))</f>
        <v>Styr och regler</v>
      </c>
      <c r="F30" s="215" t="s">
        <v>26</v>
      </c>
      <c r="G30" s="177">
        <f>IF(Åtgärdslista32[[#This Row],[Kolumn42]]="ja",VLOOKUP(Åtgärdslista32[[#This Row],[Kolumn3]],Åtgärdslista3[[Kolumn3]:[Kolumn5]],19,FALSE),"-")</f>
        <v>3.3809999999999998</v>
      </c>
      <c r="H30" s="178">
        <f>IF(Åtgärdslista32[[#This Row],[Kolumn42]]="ja",VLOOKUP(Åtgärdslista32[[#This Row],[Kolumn3]],Åtgärdslista3[[Kolumn3]:[Kolumn5]],20,FALSE),"-")</f>
        <v>50</v>
      </c>
      <c r="I30" s="178">
        <f>IFERROR(Åtgärdslista32[[#This Row],[Kolumn5]]/Åtgärdslista32[[#This Row],[Kolumn11]],"-")</f>
        <v>14.788524105294293</v>
      </c>
      <c r="J30" s="197">
        <f>IF(Åtgärdslista32[[#This Row],[Kolumn33]]="","",IFERROR(VLOOKUP(Åtgärdslista32[[#This Row],[Kolumn33]],'Nuvärdesberäkning år'!$C$3:$D$23,2,FALSE),"Kategori saknas"))</f>
        <v>15</v>
      </c>
      <c r="K30" s="45">
        <f t="shared" si="1"/>
        <v>-9.6378414716100949</v>
      </c>
      <c r="L30" s="146"/>
      <c r="M30" s="77"/>
      <c r="N30" s="77"/>
      <c r="O30" s="148" t="s">
        <v>114</v>
      </c>
      <c r="P30" s="143" t="str">
        <f>IF(Åtgärdslista32[[#This Row],[Kolumn1]]&lt;&gt;"",Åtgärdslista32[[#This Row],[Kolumn11]],"-")</f>
        <v>-</v>
      </c>
      <c r="Q30" s="135" t="str">
        <f>IF(Åtgärdslista32[[#This Row],[Kolumn1]]&lt;&gt;"",Åtgärdslista32[[#This Row],[Kolumn5]],"-")</f>
        <v>-</v>
      </c>
      <c r="R30" s="135" t="str">
        <f>IF(Åtgärdslista32[[#This Row],[Kolumn6]]&lt;&gt;"",Åtgärdslista32[[#This Row],[Kolumn11]],"-")</f>
        <v>-</v>
      </c>
      <c r="S30" s="135" t="str">
        <f>IF(Åtgärdslista32[[#This Row],[Kolumn22]]&lt;&gt;"",Åtgärdslista32[[#This Row],[Kolumn5]],"-")</f>
        <v>-</v>
      </c>
      <c r="T30" s="135" t="str">
        <f>IF(Åtgärdslista32[[#This Row],[Kolumn22]]&lt;&gt;"",Åtgärdslista32[[#This Row],[Kolumn11]],"-")</f>
        <v>-</v>
      </c>
      <c r="U30" s="135" t="str">
        <f>IF(Åtgärdslista32[[#This Row],[Kolumn22]]&lt;&gt;"",Åtgärdslista32[[#This Row],[Kolumn5]],"-")</f>
        <v>-</v>
      </c>
      <c r="V30" s="135">
        <f>IF(Åtgärdslista32[[#This Row],[Kolumn43]]&lt;&gt;"",Åtgärdslista32[[#This Row],[Kolumn11]],"-")</f>
        <v>3.3809999999999998</v>
      </c>
      <c r="W30" s="135">
        <f>IF(Åtgärdslista32[[#This Row],[Kolumn43]]&lt;&gt;"",Åtgärdslista32[[#This Row],[Kolumn5]],"-")</f>
        <v>50</v>
      </c>
    </row>
    <row r="31" spans="1:23" s="13" customFormat="1" ht="15.6" x14ac:dyDescent="0.3">
      <c r="A31"/>
      <c r="B31" s="25">
        <v>15</v>
      </c>
      <c r="C31" s="26" t="str">
        <f>IF(VLOOKUP(Åtgärdslista32[[#This Row],[Kolumn3]],Åtgärdslista3[[Kolumn3]:[Kolumn5]],2,FALSE)="","",VLOOKUP(Åtgärdslista32[[#This Row],[Kolumn3]],Åtgärdslista3[[Kolumn3]:[Kolumn5]],2,FALSE))</f>
        <v xml:space="preserve">Linden 13 </v>
      </c>
      <c r="D31" s="26" t="str">
        <f>IF(VLOOKUP(Åtgärdslista32[[#This Row],[Kolumn3]],Åtgärdslista3[[Kolumn3]:[Kolumn5]],3,FALSE)="","",VLOOKUP(Åtgärdslista32[[#This Row],[Kolumn3]],Åtgärdslista3[[Kolumn3]:[Kolumn5]],3,FALSE))</f>
        <v>Värme</v>
      </c>
      <c r="E31" s="12" t="str">
        <f>IF(VLOOKUP(Åtgärdslista32[[#This Row],[Kolumn3]],Åtgärdslista3[[Kolumn3]:[Kolumn5]],4,FALSE)="","",VLOOKUP(Åtgärdslista32[[#This Row],[Kolumn3]],Åtgärdslista3[[Kolumn3]:[Kolumn5]],4,FALSE))</f>
        <v>Frånluftsvärmepump</v>
      </c>
      <c r="F31" s="215" t="s">
        <v>26</v>
      </c>
      <c r="G31" s="177">
        <f>IF(Åtgärdslista32[[#This Row],[Kolumn42]]="ja",VLOOKUP(Åtgärdslista32[[#This Row],[Kolumn3]],Åtgärdslista3[[Kolumn3]:[Kolumn5]],19,FALSE),"-")</f>
        <v>21.339999999999996</v>
      </c>
      <c r="H31" s="178">
        <f>IF(Åtgärdslista32[[#This Row],[Kolumn42]]="ja",VLOOKUP(Åtgärdslista32[[#This Row],[Kolumn3]],Åtgärdslista3[[Kolumn3]:[Kolumn5]],20,FALSE),"-")</f>
        <v>230</v>
      </c>
      <c r="I31" s="178">
        <f>IFERROR(Åtgärdslista32[[#This Row],[Kolumn5]]/Åtgärdslista32[[#This Row],[Kolumn11]],"-")</f>
        <v>10.777881911902533</v>
      </c>
      <c r="J31" s="197">
        <f>IF(Åtgärdslista32[[#This Row],[Kolumn33]]="","",IFERROR(VLOOKUP(Åtgärdslista32[[#This Row],[Kolumn33]],'Nuvärdesberäkning år'!$C$3:$D$23,2,FALSE),"Kategori saknas"))</f>
        <v>20</v>
      </c>
      <c r="K31" s="45">
        <f t="shared" si="1"/>
        <v>87.485313522120293</v>
      </c>
      <c r="L31" s="149"/>
      <c r="M31" s="90"/>
      <c r="N31" s="90"/>
      <c r="O31" s="150" t="s">
        <v>114</v>
      </c>
      <c r="P31" s="144" t="str">
        <f>IF(Åtgärdslista32[[#This Row],[Kolumn1]]&lt;&gt;"",Åtgärdslista32[[#This Row],[Kolumn11]],"-")</f>
        <v>-</v>
      </c>
      <c r="Q31" s="136" t="str">
        <f>IF(Åtgärdslista32[[#This Row],[Kolumn1]]&lt;&gt;"",Åtgärdslista32[[#This Row],[Kolumn5]],"-")</f>
        <v>-</v>
      </c>
      <c r="R31" s="136" t="str">
        <f>IF(Åtgärdslista32[[#This Row],[Kolumn6]]&lt;&gt;"",Åtgärdslista32[[#This Row],[Kolumn11]],"-")</f>
        <v>-</v>
      </c>
      <c r="S31" s="135" t="str">
        <f>IF(Åtgärdslista32[[#This Row],[Kolumn22]]&lt;&gt;"",Åtgärdslista32[[#This Row],[Kolumn5]],"-")</f>
        <v>-</v>
      </c>
      <c r="T31" s="136" t="str">
        <f>IF(Åtgärdslista32[[#This Row],[Kolumn22]]&lt;&gt;"",Åtgärdslista32[[#This Row],[Kolumn11]],"-")</f>
        <v>-</v>
      </c>
      <c r="U31" s="136" t="str">
        <f>IF(Åtgärdslista32[[#This Row],[Kolumn22]]&lt;&gt;"",Åtgärdslista32[[#This Row],[Kolumn5]],"-")</f>
        <v>-</v>
      </c>
      <c r="V31" s="136">
        <f>IF(Åtgärdslista32[[#This Row],[Kolumn43]]&lt;&gt;"",Åtgärdslista32[[#This Row],[Kolumn11]],"-")</f>
        <v>21.339999999999996</v>
      </c>
      <c r="W31" s="135">
        <f>IF(Åtgärdslista32[[#This Row],[Kolumn43]]&lt;&gt;"",Åtgärdslista32[[#This Row],[Kolumn5]],"-")</f>
        <v>230</v>
      </c>
    </row>
    <row r="32" spans="1:23" s="13" customFormat="1" ht="15.6" x14ac:dyDescent="0.3">
      <c r="A32"/>
      <c r="B32" s="25">
        <v>16</v>
      </c>
      <c r="C32" s="26" t="str">
        <f>IF(VLOOKUP(Åtgärdslista32[[#This Row],[Kolumn3]],Åtgärdslista3[[Kolumn3]:[Kolumn5]],2,FALSE)="","",VLOOKUP(Åtgärdslista32[[#This Row],[Kolumn3]],Åtgärdslista3[[Kolumn3]:[Kolumn5]],2,FALSE))</f>
        <v>Göken 21</v>
      </c>
      <c r="D32" s="26" t="str">
        <f>IF(VLOOKUP(Åtgärdslista32[[#This Row],[Kolumn3]],Åtgärdslista3[[Kolumn3]:[Kolumn5]],3,FALSE)="","",VLOOKUP(Åtgärdslista32[[#This Row],[Kolumn3]],Åtgärdslista3[[Kolumn3]:[Kolumn5]],3,FALSE))</f>
        <v>Värme</v>
      </c>
      <c r="E32" s="12" t="str">
        <f>IF(VLOOKUP(Åtgärdslista32[[#This Row],[Kolumn3]],Åtgärdslista3[[Kolumn3]:[Kolumn5]],4,FALSE)="","",VLOOKUP(Åtgärdslista32[[#This Row],[Kolumn3]],Åtgärdslista3[[Kolumn3]:[Kolumn5]],4,FALSE))</f>
        <v>Solvärme</v>
      </c>
      <c r="F32" s="215" t="s">
        <v>26</v>
      </c>
      <c r="G32" s="177">
        <f>IF(Åtgärdslista32[[#This Row],[Kolumn42]]="ja",VLOOKUP(Åtgärdslista32[[#This Row],[Kolumn3]],Åtgärdslista3[[Kolumn3]:[Kolumn5]],19,FALSE),"-")</f>
        <v>35.879999999999995</v>
      </c>
      <c r="H32" s="178">
        <f>IF(Åtgärdslista32[[#This Row],[Kolumn42]]="ja",VLOOKUP(Åtgärdslista32[[#This Row],[Kolumn3]],Åtgärdslista3[[Kolumn3]:[Kolumn5]],20,FALSE),"-")</f>
        <v>600</v>
      </c>
      <c r="I32" s="178">
        <f>IFERROR(Åtgärdslista32[[#This Row],[Kolumn5]]/Åtgärdslista32[[#This Row],[Kolumn11]],"-")</f>
        <v>16.722408026755854</v>
      </c>
      <c r="J32" s="197">
        <f>IF(Åtgärdslista32[[#This Row],[Kolumn33]]="","",IFERROR(VLOOKUP(Åtgärdslista32[[#This Row],[Kolumn33]],'Nuvärdesberäkning år'!$C$3:$D$23,2,FALSE),"Kategori saknas"))</f>
        <v>20</v>
      </c>
      <c r="K32" s="45">
        <f t="shared" si="1"/>
        <v>-66.196202006856765</v>
      </c>
      <c r="L32" s="151"/>
      <c r="M32" s="89"/>
      <c r="N32" s="89"/>
      <c r="O32" s="152"/>
      <c r="P32" s="145" t="str">
        <f>IF(Åtgärdslista32[[#This Row],[Kolumn1]]&lt;&gt;"",Åtgärdslista32[[#This Row],[Kolumn11]],"-")</f>
        <v>-</v>
      </c>
      <c r="Q32" s="137" t="str">
        <f>IF(Åtgärdslista32[[#This Row],[Kolumn1]]&lt;&gt;"",Åtgärdslista32[[#This Row],[Kolumn5]],"-")</f>
        <v>-</v>
      </c>
      <c r="R32" s="137" t="str">
        <f>IF(Åtgärdslista32[[#This Row],[Kolumn6]]&lt;&gt;"",Åtgärdslista32[[#This Row],[Kolumn11]],"-")</f>
        <v>-</v>
      </c>
      <c r="S32" s="135" t="str">
        <f>IF(Åtgärdslista32[[#This Row],[Kolumn22]]&lt;&gt;"",Åtgärdslista32[[#This Row],[Kolumn5]],"-")</f>
        <v>-</v>
      </c>
      <c r="T32" s="137" t="str">
        <f>IF(Åtgärdslista32[[#This Row],[Kolumn22]]&lt;&gt;"",Åtgärdslista32[[#This Row],[Kolumn11]],"-")</f>
        <v>-</v>
      </c>
      <c r="U32" s="137" t="str">
        <f>IF(Åtgärdslista32[[#This Row],[Kolumn22]]&lt;&gt;"",Åtgärdslista32[[#This Row],[Kolumn5]],"-")</f>
        <v>-</v>
      </c>
      <c r="V32" s="137" t="str">
        <f>IF(Åtgärdslista32[[#This Row],[Kolumn43]]&lt;&gt;"",Åtgärdslista32[[#This Row],[Kolumn11]],"-")</f>
        <v>-</v>
      </c>
      <c r="W32" s="135" t="str">
        <f>IF(Åtgärdslista32[[#This Row],[Kolumn43]]&lt;&gt;"",Åtgärdslista32[[#This Row],[Kolumn5]],"-")</f>
        <v>-</v>
      </c>
    </row>
    <row r="33" spans="1:23" s="13" customFormat="1" ht="15.6" x14ac:dyDescent="0.3">
      <c r="A33"/>
      <c r="B33" s="25">
        <v>17</v>
      </c>
      <c r="C33" s="26" t="str">
        <f>IF(VLOOKUP(Åtgärdslista32[[#This Row],[Kolumn3]],Åtgärdslista3[[Kolumn3]:[Kolumn5]],2,FALSE)="","",VLOOKUP(Åtgärdslista32[[#This Row],[Kolumn3]],Åtgärdslista3[[Kolumn3]:[Kolumn5]],2,FALSE))</f>
        <v>Övergripande</v>
      </c>
      <c r="D33" s="26" t="str">
        <f>IF(VLOOKUP(Åtgärdslista32[[#This Row],[Kolumn3]],Åtgärdslista3[[Kolumn3]:[Kolumn5]],3,FALSE)="","",VLOOKUP(Åtgärdslista32[[#This Row],[Kolumn3]],Åtgärdslista3[[Kolumn3]:[Kolumn5]],3,FALSE))</f>
        <v>Styr &amp; övervakning</v>
      </c>
      <c r="E33" s="12" t="str">
        <f>IF(VLOOKUP(Åtgärdslista32[[#This Row],[Kolumn3]],Åtgärdslista3[[Kolumn3]:[Kolumn5]],4,FALSE)="","",VLOOKUP(Åtgärdslista32[[#This Row],[Kolumn3]],Åtgärdslista3[[Kolumn3]:[Kolumn5]],4,FALSE))</f>
        <v>Styr &amp; regler</v>
      </c>
      <c r="F33" s="215" t="s">
        <v>26</v>
      </c>
      <c r="G33" s="177">
        <f>IF(Åtgärdslista32[[#This Row],[Kolumn42]]="ja",VLOOKUP(Åtgärdslista32[[#This Row],[Kolumn3]],Åtgärdslista3[[Kolumn3]:[Kolumn5]],19,FALSE),"-")</f>
        <v>0</v>
      </c>
      <c r="H33" s="178" t="str">
        <f>IF(Åtgärdslista32[[#This Row],[Kolumn42]]="ja",VLOOKUP(Åtgärdslista32[[#This Row],[Kolumn3]],Åtgärdslista3[[Kolumn3]:[Kolumn5]],20,FALSE),"-")</f>
        <v>-</v>
      </c>
      <c r="I33" s="178" t="str">
        <f>IFERROR(Åtgärdslista32[[#This Row],[Kolumn5]]/Åtgärdslista32[[#This Row],[Kolumn11]],"-")</f>
        <v>-</v>
      </c>
      <c r="J33" s="197">
        <f>IF(Åtgärdslista32[[#This Row],[Kolumn33]]="","",IFERROR(VLOOKUP(Åtgärdslista32[[#This Row],[Kolumn33]],'Nuvärdesberäkning år'!$C$3:$D$23,2,FALSE),"Kategori saknas"))</f>
        <v>15</v>
      </c>
      <c r="K33" s="45" t="str">
        <f t="shared" si="1"/>
        <v>-</v>
      </c>
      <c r="L33" s="146"/>
      <c r="M33" s="77"/>
      <c r="N33" s="77"/>
      <c r="O33" s="148"/>
      <c r="P33" s="143" t="str">
        <f>IF(Åtgärdslista32[[#This Row],[Kolumn1]]&lt;&gt;"",Åtgärdslista32[[#This Row],[Kolumn11]],"-")</f>
        <v>-</v>
      </c>
      <c r="Q33" s="135" t="str">
        <f>IF(Åtgärdslista32[[#This Row],[Kolumn1]]&lt;&gt;"",Åtgärdslista32[[#This Row],[Kolumn5]],"-")</f>
        <v>-</v>
      </c>
      <c r="R33" s="135" t="str">
        <f>IF(Åtgärdslista32[[#This Row],[Kolumn6]]&lt;&gt;"",Åtgärdslista32[[#This Row],[Kolumn11]],"-")</f>
        <v>-</v>
      </c>
      <c r="S33" s="135" t="str">
        <f>IF(Åtgärdslista32[[#This Row],[Kolumn22]]&lt;&gt;"",Åtgärdslista32[[#This Row],[Kolumn5]],"-")</f>
        <v>-</v>
      </c>
      <c r="T33" s="135" t="str">
        <f>IF(Åtgärdslista32[[#This Row],[Kolumn22]]&lt;&gt;"",Åtgärdslista32[[#This Row],[Kolumn11]],"-")</f>
        <v>-</v>
      </c>
      <c r="U33" s="135" t="str">
        <f>IF(Åtgärdslista32[[#This Row],[Kolumn22]]&lt;&gt;"",Åtgärdslista32[[#This Row],[Kolumn5]],"-")</f>
        <v>-</v>
      </c>
      <c r="V33" s="135" t="str">
        <f>IF(Åtgärdslista32[[#This Row],[Kolumn43]]&lt;&gt;"",Åtgärdslista32[[#This Row],[Kolumn11]],"-")</f>
        <v>-</v>
      </c>
      <c r="W33" s="135" t="str">
        <f>IF(Åtgärdslista32[[#This Row],[Kolumn43]]&lt;&gt;"",Åtgärdslista32[[#This Row],[Kolumn5]],"-")</f>
        <v>-</v>
      </c>
    </row>
    <row r="34" spans="1:23" s="13" customFormat="1" ht="15.6" x14ac:dyDescent="0.3">
      <c r="A34"/>
      <c r="B34" s="25">
        <v>18</v>
      </c>
      <c r="C34" s="26" t="str">
        <f>IF(VLOOKUP(Åtgärdslista32[[#This Row],[Kolumn3]],Åtgärdslista3[[Kolumn3]:[Kolumn5]],2,FALSE)="","",VLOOKUP(Åtgärdslista32[[#This Row],[Kolumn3]],Åtgärdslista3[[Kolumn3]:[Kolumn5]],2,FALSE))</f>
        <v>Övergripande</v>
      </c>
      <c r="D34" s="26" t="str">
        <f>IF(VLOOKUP(Åtgärdslista32[[#This Row],[Kolumn3]],Åtgärdslista3[[Kolumn3]:[Kolumn5]],3,FALSE)="","",VLOOKUP(Åtgärdslista32[[#This Row],[Kolumn3]],Åtgärdslista3[[Kolumn3]:[Kolumn5]],3,FALSE))</f>
        <v>Styr &amp; övervakning</v>
      </c>
      <c r="E34" s="12" t="str">
        <f>IF(VLOOKUP(Åtgärdslista32[[#This Row],[Kolumn3]],Åtgärdslista3[[Kolumn3]:[Kolumn5]],4,FALSE)="","",VLOOKUP(Åtgärdslista32[[#This Row],[Kolumn3]],Åtgärdslista3[[Kolumn3]:[Kolumn5]],4,FALSE))</f>
        <v>Mätvärdesinsamling</v>
      </c>
      <c r="F34" s="215" t="s">
        <v>26</v>
      </c>
      <c r="G34" s="177">
        <f>IF(Åtgärdslista32[[#This Row],[Kolumn42]]="ja",VLOOKUP(Åtgärdslista32[[#This Row],[Kolumn3]],Åtgärdslista3[[Kolumn3]:[Kolumn5]],19,FALSE),"-")</f>
        <v>0</v>
      </c>
      <c r="H34" s="178" t="str">
        <f>IF(Åtgärdslista32[[#This Row],[Kolumn42]]="ja",VLOOKUP(Åtgärdslista32[[#This Row],[Kolumn3]],Åtgärdslista3[[Kolumn3]:[Kolumn5]],20,FALSE),"-")</f>
        <v>-</v>
      </c>
      <c r="I34" s="178" t="str">
        <f>IFERROR(Åtgärdslista32[[#This Row],[Kolumn5]]/Åtgärdslista32[[#This Row],[Kolumn11]],"-")</f>
        <v>-</v>
      </c>
      <c r="J34" s="197">
        <f>IF(Åtgärdslista32[[#This Row],[Kolumn33]]="","",IFERROR(VLOOKUP(Åtgärdslista32[[#This Row],[Kolumn33]],'Nuvärdesberäkning år'!$C$3:$D$23,2,FALSE),"Kategori saknas"))</f>
        <v>15</v>
      </c>
      <c r="K34" s="45" t="str">
        <f t="shared" si="1"/>
        <v>-</v>
      </c>
      <c r="L34" s="146"/>
      <c r="M34" s="77"/>
      <c r="N34" s="77"/>
      <c r="O34" s="148"/>
      <c r="P34" s="143" t="str">
        <f>IF(Åtgärdslista32[[#This Row],[Kolumn1]]&lt;&gt;"",Åtgärdslista32[[#This Row],[Kolumn11]],"-")</f>
        <v>-</v>
      </c>
      <c r="Q34" s="135" t="str">
        <f>IF(Åtgärdslista32[[#This Row],[Kolumn1]]&lt;&gt;"",Åtgärdslista32[[#This Row],[Kolumn5]],"-")</f>
        <v>-</v>
      </c>
      <c r="R34" s="135" t="str">
        <f>IF(Åtgärdslista32[[#This Row],[Kolumn6]]&lt;&gt;"",Åtgärdslista32[[#This Row],[Kolumn11]],"-")</f>
        <v>-</v>
      </c>
      <c r="S34" s="135" t="str">
        <f>IF(Åtgärdslista32[[#This Row],[Kolumn22]]&lt;&gt;"",Åtgärdslista32[[#This Row],[Kolumn5]],"-")</f>
        <v>-</v>
      </c>
      <c r="T34" s="135" t="str">
        <f>IF(Åtgärdslista32[[#This Row],[Kolumn22]]&lt;&gt;"",Åtgärdslista32[[#This Row],[Kolumn11]],"-")</f>
        <v>-</v>
      </c>
      <c r="U34" s="135" t="str">
        <f>IF(Åtgärdslista32[[#This Row],[Kolumn22]]&lt;&gt;"",Åtgärdslista32[[#This Row],[Kolumn5]],"-")</f>
        <v>-</v>
      </c>
      <c r="V34" s="135" t="str">
        <f>IF(Åtgärdslista32[[#This Row],[Kolumn43]]&lt;&gt;"",Åtgärdslista32[[#This Row],[Kolumn11]],"-")</f>
        <v>-</v>
      </c>
      <c r="W34" s="135" t="str">
        <f>IF(Åtgärdslista32[[#This Row],[Kolumn43]]&lt;&gt;"",Åtgärdslista32[[#This Row],[Kolumn5]],"-")</f>
        <v>-</v>
      </c>
    </row>
    <row r="35" spans="1:23" s="13" customFormat="1" ht="15.6" x14ac:dyDescent="0.3">
      <c r="A35"/>
      <c r="B35" s="25">
        <v>19</v>
      </c>
      <c r="C35" s="26" t="str">
        <f>IF(VLOOKUP(Åtgärdslista32[[#This Row],[Kolumn3]],Åtgärdslista3[[Kolumn3]:[Kolumn5]],2,FALSE)="","",VLOOKUP(Åtgärdslista32[[#This Row],[Kolumn3]],Åtgärdslista3[[Kolumn3]:[Kolumn5]],2,FALSE))</f>
        <v>Linden 8</v>
      </c>
      <c r="D35" s="26" t="str">
        <f>IF(VLOOKUP(Åtgärdslista32[[#This Row],[Kolumn3]],Åtgärdslista3[[Kolumn3]:[Kolumn5]],3,FALSE)="","",VLOOKUP(Åtgärdslista32[[#This Row],[Kolumn3]],Åtgärdslista3[[Kolumn3]:[Kolumn5]],3,FALSE))</f>
        <v>Vattenspar</v>
      </c>
      <c r="E35" s="12" t="str">
        <f>IF(VLOOKUP(Åtgärdslista32[[#This Row],[Kolumn3]],Åtgärdslista3[[Kolumn3]:[Kolumn5]],4,FALSE)="","",VLOOKUP(Åtgärdslista32[[#This Row],[Kolumn3]],Åtgärdslista3[[Kolumn3]:[Kolumn5]],4,FALSE))</f>
        <v>Vattenspar</v>
      </c>
      <c r="F35" s="215" t="s">
        <v>26</v>
      </c>
      <c r="G35" s="177">
        <f>IF(Åtgärdslista32[[#This Row],[Kolumn42]]="ja",VLOOKUP(Åtgärdslista32[[#This Row],[Kolumn3]],Åtgärdslista3[[Kolumn3]:[Kolumn5]],19,FALSE),"-")</f>
        <v>2.3959999999999999</v>
      </c>
      <c r="H35" s="178">
        <f>IF(Åtgärdslista32[[#This Row],[Kolumn42]]="ja",VLOOKUP(Åtgärdslista32[[#This Row],[Kolumn3]],Åtgärdslista3[[Kolumn3]:[Kolumn5]],20,FALSE),"-")</f>
        <v>7</v>
      </c>
      <c r="I35" s="178">
        <f>IFERROR(Åtgärdslista32[[#This Row],[Kolumn5]]/Åtgärdslista32[[#This Row],[Kolumn11]],"-")</f>
        <v>2.9215358931552591</v>
      </c>
      <c r="J35" s="197">
        <f>IF(Åtgärdslista32[[#This Row],[Kolumn33]]="","",IFERROR(VLOOKUP(Åtgärdslista32[[#This Row],[Kolumn33]],'Nuvärdesberäkning år'!$C$3:$D$23,2,FALSE),"Kategori saknas"))</f>
        <v>10</v>
      </c>
      <c r="K35" s="45">
        <f t="shared" si="1"/>
        <v>13.438365996914879</v>
      </c>
      <c r="L35" s="146"/>
      <c r="M35" s="77"/>
      <c r="N35" s="77"/>
      <c r="O35" s="148"/>
      <c r="P35" s="143" t="str">
        <f>IF(Åtgärdslista32[[#This Row],[Kolumn1]]&lt;&gt;"",Åtgärdslista32[[#This Row],[Kolumn11]],"-")</f>
        <v>-</v>
      </c>
      <c r="Q35" s="135" t="str">
        <f>IF(Åtgärdslista32[[#This Row],[Kolumn1]]&lt;&gt;"",Åtgärdslista32[[#This Row],[Kolumn5]],"-")</f>
        <v>-</v>
      </c>
      <c r="R35" s="135" t="str">
        <f>IF(Åtgärdslista32[[#This Row],[Kolumn6]]&lt;&gt;"",Åtgärdslista32[[#This Row],[Kolumn11]],"-")</f>
        <v>-</v>
      </c>
      <c r="S35" s="135" t="str">
        <f>IF(Åtgärdslista32[[#This Row],[Kolumn22]]&lt;&gt;"",Åtgärdslista32[[#This Row],[Kolumn5]],"-")</f>
        <v>-</v>
      </c>
      <c r="T35" s="135" t="str">
        <f>IF(Åtgärdslista32[[#This Row],[Kolumn22]]&lt;&gt;"",Åtgärdslista32[[#This Row],[Kolumn11]],"-")</f>
        <v>-</v>
      </c>
      <c r="U35" s="135" t="str">
        <f>IF(Åtgärdslista32[[#This Row],[Kolumn22]]&lt;&gt;"",Åtgärdslista32[[#This Row],[Kolumn5]],"-")</f>
        <v>-</v>
      </c>
      <c r="V35" s="135" t="str">
        <f>IF(Åtgärdslista32[[#This Row],[Kolumn43]]&lt;&gt;"",Åtgärdslista32[[#This Row],[Kolumn11]],"-")</f>
        <v>-</v>
      </c>
      <c r="W35" s="135" t="str">
        <f>IF(Åtgärdslista32[[#This Row],[Kolumn43]]&lt;&gt;"",Åtgärdslista32[[#This Row],[Kolumn5]],"-")</f>
        <v>-</v>
      </c>
    </row>
    <row r="36" spans="1:23" s="13" customFormat="1" ht="15.6" x14ac:dyDescent="0.3">
      <c r="A36"/>
      <c r="B36" s="25">
        <v>20</v>
      </c>
      <c r="C36" s="26" t="str">
        <f>IF(VLOOKUP(Åtgärdslista32[[#This Row],[Kolumn3]],Åtgärdslista3[[Kolumn3]:[Kolumn5]],2,FALSE)="","",VLOOKUP(Åtgärdslista32[[#This Row],[Kolumn3]],Åtgärdslista3[[Kolumn3]:[Kolumn5]],2,FALSE))</f>
        <v>Linden 8</v>
      </c>
      <c r="D36" s="26" t="str">
        <f>IF(VLOOKUP(Åtgärdslista32[[#This Row],[Kolumn3]],Åtgärdslista3[[Kolumn3]:[Kolumn5]],3,FALSE)="","",VLOOKUP(Åtgärdslista32[[#This Row],[Kolumn3]],Åtgärdslista3[[Kolumn3]:[Kolumn5]],3,FALSE))</f>
        <v>Styr &amp; övervakning</v>
      </c>
      <c r="E36" s="12" t="str">
        <f>IF(VLOOKUP(Åtgärdslista32[[#This Row],[Kolumn3]],Åtgärdslista3[[Kolumn3]:[Kolumn5]],4,FALSE)="","",VLOOKUP(Åtgärdslista32[[#This Row],[Kolumn3]],Åtgärdslista3[[Kolumn3]:[Kolumn5]],4,FALSE))</f>
        <v>Styr och regler</v>
      </c>
      <c r="F36" s="215" t="s">
        <v>26</v>
      </c>
      <c r="G36" s="177">
        <f>IF(Åtgärdslista32[[#This Row],[Kolumn42]]="ja",VLOOKUP(Åtgärdslista32[[#This Row],[Kolumn3]],Åtgärdslista3[[Kolumn3]:[Kolumn5]],19,FALSE),"-")</f>
        <v>3.6569999999999996</v>
      </c>
      <c r="H36" s="178">
        <f>IF(Åtgärdslista32[[#This Row],[Kolumn42]]="ja",VLOOKUP(Åtgärdslista32[[#This Row],[Kolumn3]],Åtgärdslista3[[Kolumn3]:[Kolumn5]],20,FALSE),"-")</f>
        <v>50</v>
      </c>
      <c r="I36" s="178">
        <f>IFERROR(Åtgärdslista32[[#This Row],[Kolumn5]]/Åtgärdslista32[[#This Row],[Kolumn11]],"-")</f>
        <v>13.67240907847963</v>
      </c>
      <c r="J36" s="197">
        <f>IF(Åtgärdslista32[[#This Row],[Kolumn33]]="","",IFERROR(VLOOKUP(Åtgärdslista32[[#This Row],[Kolumn33]],'Nuvärdesberäkning år'!$C$3:$D$23,2,FALSE),"Kategori saknas"))</f>
        <v>15</v>
      </c>
      <c r="K36" s="45">
        <f t="shared" si="1"/>
        <v>-6.3429713876598939</v>
      </c>
      <c r="L36" s="146"/>
      <c r="M36" s="77"/>
      <c r="N36" s="77"/>
      <c r="O36" s="148"/>
      <c r="P36" s="143" t="str">
        <f>IF(Åtgärdslista32[[#This Row],[Kolumn1]]&lt;&gt;"",Åtgärdslista32[[#This Row],[Kolumn11]],"-")</f>
        <v>-</v>
      </c>
      <c r="Q36" s="135" t="str">
        <f>IF(Åtgärdslista32[[#This Row],[Kolumn1]]&lt;&gt;"",Åtgärdslista32[[#This Row],[Kolumn5]],"-")</f>
        <v>-</v>
      </c>
      <c r="R36" s="135" t="str">
        <f>IF(Åtgärdslista32[[#This Row],[Kolumn6]]&lt;&gt;"",Åtgärdslista32[[#This Row],[Kolumn11]],"-")</f>
        <v>-</v>
      </c>
      <c r="S36" s="135" t="str">
        <f>IF(Åtgärdslista32[[#This Row],[Kolumn22]]&lt;&gt;"",Åtgärdslista32[[#This Row],[Kolumn5]],"-")</f>
        <v>-</v>
      </c>
      <c r="T36" s="135" t="str">
        <f>IF(Åtgärdslista32[[#This Row],[Kolumn22]]&lt;&gt;"",Åtgärdslista32[[#This Row],[Kolumn11]],"-")</f>
        <v>-</v>
      </c>
      <c r="U36" s="135" t="str">
        <f>IF(Åtgärdslista32[[#This Row],[Kolumn22]]&lt;&gt;"",Åtgärdslista32[[#This Row],[Kolumn5]],"-")</f>
        <v>-</v>
      </c>
      <c r="V36" s="135" t="str">
        <f>IF(Åtgärdslista32[[#This Row],[Kolumn43]]&lt;&gt;"",Åtgärdslista32[[#This Row],[Kolumn11]],"-")</f>
        <v>-</v>
      </c>
      <c r="W36" s="135" t="str">
        <f>IF(Åtgärdslista32[[#This Row],[Kolumn43]]&lt;&gt;"",Åtgärdslista32[[#This Row],[Kolumn5]],"-")</f>
        <v>-</v>
      </c>
    </row>
    <row r="37" spans="1:23" s="13" customFormat="1" ht="15.6" x14ac:dyDescent="0.3">
      <c r="A37"/>
      <c r="B37" s="25">
        <v>21</v>
      </c>
      <c r="C37" s="26" t="str">
        <f>IF(VLOOKUP(Åtgärdslista32[[#This Row],[Kolumn3]],Åtgärdslista3[[Kolumn3]:[Kolumn5]],2,FALSE)="","",VLOOKUP(Åtgärdslista32[[#This Row],[Kolumn3]],Åtgärdslista3[[Kolumn3]:[Kolumn5]],2,FALSE))</f>
        <v>Linden 8</v>
      </c>
      <c r="D37" s="26" t="str">
        <f>IF(VLOOKUP(Åtgärdslista32[[#This Row],[Kolumn3]],Åtgärdslista3[[Kolumn3]:[Kolumn5]],3,FALSE)="","",VLOOKUP(Åtgärdslista32[[#This Row],[Kolumn3]],Åtgärdslista3[[Kolumn3]:[Kolumn5]],3,FALSE))</f>
        <v>Värme</v>
      </c>
      <c r="E37" s="12" t="str">
        <f>IF(VLOOKUP(Åtgärdslista32[[#This Row],[Kolumn3]],Åtgärdslista3[[Kolumn3]:[Kolumn5]],4,FALSE)="","",VLOOKUP(Åtgärdslista32[[#This Row],[Kolumn3]],Åtgärdslista3[[Kolumn3]:[Kolumn5]],4,FALSE))</f>
        <v>Frånluftsvärmepump</v>
      </c>
      <c r="F37" s="215" t="s">
        <v>26</v>
      </c>
      <c r="G37" s="177">
        <f>IF(Åtgärdslista32[[#This Row],[Kolumn42]]="ja",VLOOKUP(Åtgärdslista32[[#This Row],[Kolumn3]],Åtgärdslista3[[Kolumn3]:[Kolumn5]],19,FALSE),"-")</f>
        <v>12.249999999999998</v>
      </c>
      <c r="H37" s="178">
        <f>IF(Åtgärdslista32[[#This Row],[Kolumn42]]="ja",VLOOKUP(Åtgärdslista32[[#This Row],[Kolumn3]],Åtgärdslista3[[Kolumn3]:[Kolumn5]],20,FALSE),"-")</f>
        <v>170</v>
      </c>
      <c r="I37" s="178">
        <f>IFERROR(Åtgärdslista32[[#This Row],[Kolumn5]]/Åtgärdslista32[[#This Row],[Kolumn11]],"-")</f>
        <v>13.877551020408164</v>
      </c>
      <c r="J37" s="197">
        <f>IF(Åtgärdslista32[[#This Row],[Kolumn33]]="","",IFERROR(VLOOKUP(Åtgärdslista32[[#This Row],[Kolumn33]],'Nuvärdesberäkning år'!$C$3:$D$23,2,FALSE),"Kategori saknas"))</f>
        <v>20</v>
      </c>
      <c r="K37" s="45">
        <f t="shared" si="1"/>
        <v>12.249067040579831</v>
      </c>
      <c r="L37" s="146"/>
      <c r="M37" s="77"/>
      <c r="N37" s="77"/>
      <c r="O37" s="148"/>
      <c r="P37" s="143" t="str">
        <f>IF(Åtgärdslista32[[#This Row],[Kolumn1]]&lt;&gt;"",Åtgärdslista32[[#This Row],[Kolumn11]],"-")</f>
        <v>-</v>
      </c>
      <c r="Q37" s="135" t="str">
        <f>IF(Åtgärdslista32[[#This Row],[Kolumn1]]&lt;&gt;"",Åtgärdslista32[[#This Row],[Kolumn5]],"-")</f>
        <v>-</v>
      </c>
      <c r="R37" s="135" t="str">
        <f>IF(Åtgärdslista32[[#This Row],[Kolumn6]]&lt;&gt;"",Åtgärdslista32[[#This Row],[Kolumn11]],"-")</f>
        <v>-</v>
      </c>
      <c r="S37" s="135" t="str">
        <f>IF(Åtgärdslista32[[#This Row],[Kolumn22]]&lt;&gt;"",Åtgärdslista32[[#This Row],[Kolumn5]],"-")</f>
        <v>-</v>
      </c>
      <c r="T37" s="135" t="str">
        <f>IF(Åtgärdslista32[[#This Row],[Kolumn22]]&lt;&gt;"",Åtgärdslista32[[#This Row],[Kolumn11]],"-")</f>
        <v>-</v>
      </c>
      <c r="U37" s="135" t="str">
        <f>IF(Åtgärdslista32[[#This Row],[Kolumn22]]&lt;&gt;"",Åtgärdslista32[[#This Row],[Kolumn5]],"-")</f>
        <v>-</v>
      </c>
      <c r="V37" s="135" t="str">
        <f>IF(Åtgärdslista32[[#This Row],[Kolumn43]]&lt;&gt;"",Åtgärdslista32[[#This Row],[Kolumn11]],"-")</f>
        <v>-</v>
      </c>
      <c r="W37" s="135" t="str">
        <f>IF(Åtgärdslista32[[#This Row],[Kolumn43]]&lt;&gt;"",Åtgärdslista32[[#This Row],[Kolumn5]],"-")</f>
        <v>-</v>
      </c>
    </row>
    <row r="38" spans="1:23" s="13" customFormat="1" ht="15.6" x14ac:dyDescent="0.3">
      <c r="A38"/>
      <c r="B38" s="25">
        <v>22</v>
      </c>
      <c r="C38" s="26" t="str">
        <f>IF(VLOOKUP(Åtgärdslista32[[#This Row],[Kolumn3]],Åtgärdslista3[[Kolumn3]:[Kolumn5]],2,FALSE)="","",VLOOKUP(Åtgärdslista32[[#This Row],[Kolumn3]],Åtgärdslista3[[Kolumn3]:[Kolumn5]],2,FALSE))</f>
        <v>Orren 6,7,8</v>
      </c>
      <c r="D38" s="26" t="str">
        <f>IF(VLOOKUP(Åtgärdslista32[[#This Row],[Kolumn3]],Åtgärdslista3[[Kolumn3]:[Kolumn5]],3,FALSE)="","",VLOOKUP(Åtgärdslista32[[#This Row],[Kolumn3]],Åtgärdslista3[[Kolumn3]:[Kolumn5]],3,FALSE))</f>
        <v>Vattenspar</v>
      </c>
      <c r="E38" s="12" t="str">
        <f>IF(VLOOKUP(Åtgärdslista32[[#This Row],[Kolumn3]],Åtgärdslista3[[Kolumn3]:[Kolumn5]],4,FALSE)="","",VLOOKUP(Åtgärdslista32[[#This Row],[Kolumn3]],Åtgärdslista3[[Kolumn3]:[Kolumn5]],4,FALSE))</f>
        <v>Vattenspar</v>
      </c>
      <c r="F38" s="215" t="s">
        <v>26</v>
      </c>
      <c r="G38" s="177">
        <f>IF(Åtgärdslista32[[#This Row],[Kolumn42]]="ja",VLOOKUP(Åtgärdslista32[[#This Row],[Kolumn3]],Åtgärdslista3[[Kolumn3]:[Kolumn5]],19,FALSE),"-")</f>
        <v>1.3939999999999999</v>
      </c>
      <c r="H38" s="178">
        <f>IF(Åtgärdslista32[[#This Row],[Kolumn42]]="ja",VLOOKUP(Åtgärdslista32[[#This Row],[Kolumn3]],Åtgärdslista3[[Kolumn3]:[Kolumn5]],20,FALSE),"-")</f>
        <v>4</v>
      </c>
      <c r="I38" s="178">
        <f>IFERROR(Åtgärdslista32[[#This Row],[Kolumn5]]/Åtgärdslista32[[#This Row],[Kolumn11]],"-")</f>
        <v>2.8694404591104736</v>
      </c>
      <c r="J38" s="197">
        <f>IF(Åtgärdslista32[[#This Row],[Kolumn33]]="","",IFERROR(VLOOKUP(Åtgärdslista32[[#This Row],[Kolumn33]],'Nuvärdesberäkning år'!$C$3:$D$23,2,FALSE),"Kategori saknas"))</f>
        <v>10</v>
      </c>
      <c r="K38" s="45">
        <f t="shared" si="1"/>
        <v>7.8911027544654999</v>
      </c>
      <c r="L38" s="146"/>
      <c r="M38" s="77"/>
      <c r="N38" s="77"/>
      <c r="O38" s="148"/>
      <c r="P38" s="143" t="str">
        <f>IF(Åtgärdslista32[[#This Row],[Kolumn1]]&lt;&gt;"",Åtgärdslista32[[#This Row],[Kolumn11]],"-")</f>
        <v>-</v>
      </c>
      <c r="Q38" s="135" t="str">
        <f>IF(Åtgärdslista32[[#This Row],[Kolumn1]]&lt;&gt;"",Åtgärdslista32[[#This Row],[Kolumn5]],"-")</f>
        <v>-</v>
      </c>
      <c r="R38" s="135" t="str">
        <f>IF(Åtgärdslista32[[#This Row],[Kolumn6]]&lt;&gt;"",Åtgärdslista32[[#This Row],[Kolumn11]],"-")</f>
        <v>-</v>
      </c>
      <c r="S38" s="135" t="str">
        <f>IF(Åtgärdslista32[[#This Row],[Kolumn22]]&lt;&gt;"",Åtgärdslista32[[#This Row],[Kolumn5]],"-")</f>
        <v>-</v>
      </c>
      <c r="T38" s="135" t="str">
        <f>IF(Åtgärdslista32[[#This Row],[Kolumn22]]&lt;&gt;"",Åtgärdslista32[[#This Row],[Kolumn11]],"-")</f>
        <v>-</v>
      </c>
      <c r="U38" s="135" t="str">
        <f>IF(Åtgärdslista32[[#This Row],[Kolumn22]]&lt;&gt;"",Åtgärdslista32[[#This Row],[Kolumn5]],"-")</f>
        <v>-</v>
      </c>
      <c r="V38" s="135" t="str">
        <f>IF(Åtgärdslista32[[#This Row],[Kolumn43]]&lt;&gt;"",Åtgärdslista32[[#This Row],[Kolumn11]],"-")</f>
        <v>-</v>
      </c>
      <c r="W38" s="135" t="str">
        <f>IF(Åtgärdslista32[[#This Row],[Kolumn43]]&lt;&gt;"",Åtgärdslista32[[#This Row],[Kolumn5]],"-")</f>
        <v>-</v>
      </c>
    </row>
    <row r="39" spans="1:23" s="13" customFormat="1" ht="15.6" x14ac:dyDescent="0.3">
      <c r="A39"/>
      <c r="B39" s="25">
        <v>23</v>
      </c>
      <c r="C39" s="26" t="str">
        <f>IF(VLOOKUP(Åtgärdslista32[[#This Row],[Kolumn3]],Åtgärdslista3[[Kolumn3]:[Kolumn5]],2,FALSE)="","",VLOOKUP(Åtgärdslista32[[#This Row],[Kolumn3]],Åtgärdslista3[[Kolumn3]:[Kolumn5]],2,FALSE))</f>
        <v>Orren 6,7,8</v>
      </c>
      <c r="D39" s="26" t="str">
        <f>IF(VLOOKUP(Åtgärdslista32[[#This Row],[Kolumn3]],Åtgärdslista3[[Kolumn3]:[Kolumn5]],3,FALSE)="","",VLOOKUP(Åtgärdslista32[[#This Row],[Kolumn3]],Åtgärdslista3[[Kolumn3]:[Kolumn5]],3,FALSE))</f>
        <v>Styr &amp; övervakning</v>
      </c>
      <c r="E39" s="12" t="str">
        <f>IF(VLOOKUP(Åtgärdslista32[[#This Row],[Kolumn3]],Åtgärdslista3[[Kolumn3]:[Kolumn5]],4,FALSE)="","",VLOOKUP(Åtgärdslista32[[#This Row],[Kolumn3]],Åtgärdslista3[[Kolumn3]:[Kolumn5]],4,FALSE))</f>
        <v>Styr och regler</v>
      </c>
      <c r="F39" s="215" t="s">
        <v>26</v>
      </c>
      <c r="G39" s="177">
        <f>IF(Åtgärdslista32[[#This Row],[Kolumn42]]="ja",VLOOKUP(Åtgärdslista32[[#This Row],[Kolumn3]],Åtgärdslista3[[Kolumn3]:[Kolumn5]],19,FALSE),"-")</f>
        <v>13.11</v>
      </c>
      <c r="H39" s="178">
        <f>IF(Åtgärdslista32[[#This Row],[Kolumn42]]="ja",VLOOKUP(Åtgärdslista32[[#This Row],[Kolumn3]],Åtgärdslista3[[Kolumn3]:[Kolumn5]],20,FALSE),"-")</f>
        <v>60</v>
      </c>
      <c r="I39" s="178">
        <f>IFERROR(Åtgärdslista32[[#This Row],[Kolumn5]]/Åtgärdslista32[[#This Row],[Kolumn11]],"-")</f>
        <v>4.5766590389016022</v>
      </c>
      <c r="J39" s="197">
        <f>IF(Åtgärdslista32[[#This Row],[Kolumn33]]="","",IFERROR(VLOOKUP(Åtgärdslista32[[#This Row],[Kolumn33]],'Nuvärdesberäkning år'!$C$3:$D$23,2,FALSE),"Kategori saknas"))</f>
        <v>15</v>
      </c>
      <c r="K39" s="45">
        <f t="shared" si="1"/>
        <v>96.506328987634333</v>
      </c>
      <c r="L39" s="146"/>
      <c r="M39" s="77"/>
      <c r="N39" s="77"/>
      <c r="O39" s="148"/>
      <c r="P39" s="143" t="str">
        <f>IF(Åtgärdslista32[[#This Row],[Kolumn1]]&lt;&gt;"",Åtgärdslista32[[#This Row],[Kolumn11]],"-")</f>
        <v>-</v>
      </c>
      <c r="Q39" s="135" t="str">
        <f>IF(Åtgärdslista32[[#This Row],[Kolumn1]]&lt;&gt;"",Åtgärdslista32[[#This Row],[Kolumn5]],"-")</f>
        <v>-</v>
      </c>
      <c r="R39" s="135" t="str">
        <f>IF(Åtgärdslista32[[#This Row],[Kolumn6]]&lt;&gt;"",Åtgärdslista32[[#This Row],[Kolumn11]],"-")</f>
        <v>-</v>
      </c>
      <c r="S39" s="135" t="str">
        <f>IF(Åtgärdslista32[[#This Row],[Kolumn22]]&lt;&gt;"",Åtgärdslista32[[#This Row],[Kolumn5]],"-")</f>
        <v>-</v>
      </c>
      <c r="T39" s="135" t="str">
        <f>IF(Åtgärdslista32[[#This Row],[Kolumn22]]&lt;&gt;"",Åtgärdslista32[[#This Row],[Kolumn11]],"-")</f>
        <v>-</v>
      </c>
      <c r="U39" s="135" t="str">
        <f>IF(Åtgärdslista32[[#This Row],[Kolumn22]]&lt;&gt;"",Åtgärdslista32[[#This Row],[Kolumn5]],"-")</f>
        <v>-</v>
      </c>
      <c r="V39" s="135" t="str">
        <f>IF(Åtgärdslista32[[#This Row],[Kolumn43]]&lt;&gt;"",Åtgärdslista32[[#This Row],[Kolumn11]],"-")</f>
        <v>-</v>
      </c>
      <c r="W39" s="135" t="str">
        <f>IF(Åtgärdslista32[[#This Row],[Kolumn43]]&lt;&gt;"",Åtgärdslista32[[#This Row],[Kolumn5]],"-")</f>
        <v>-</v>
      </c>
    </row>
    <row r="40" spans="1:23" s="13" customFormat="1" ht="15.6" x14ac:dyDescent="0.3">
      <c r="A40"/>
      <c r="B40" s="25">
        <v>24</v>
      </c>
      <c r="C40" s="26" t="str">
        <f>IF(VLOOKUP(Åtgärdslista32[[#This Row],[Kolumn3]],Åtgärdslista3[[Kolumn3]:[Kolumn5]],2,FALSE)="","",VLOOKUP(Åtgärdslista32[[#This Row],[Kolumn3]],Åtgärdslista3[[Kolumn3]:[Kolumn5]],2,FALSE))</f>
        <v>Orren 6,7,8</v>
      </c>
      <c r="D40" s="26" t="str">
        <f>IF(VLOOKUP(Åtgärdslista32[[#This Row],[Kolumn3]],Åtgärdslista3[[Kolumn3]:[Kolumn5]],3,FALSE)="","",VLOOKUP(Åtgärdslista32[[#This Row],[Kolumn3]],Åtgärdslista3[[Kolumn3]:[Kolumn5]],3,FALSE))</f>
        <v>Värme</v>
      </c>
      <c r="E40" s="12" t="str">
        <f>IF(VLOOKUP(Åtgärdslista32[[#This Row],[Kolumn3]],Åtgärdslista3[[Kolumn3]:[Kolumn5]],4,FALSE)="","",VLOOKUP(Åtgärdslista32[[#This Row],[Kolumn3]],Åtgärdslista3[[Kolumn3]:[Kolumn5]],4,FALSE))</f>
        <v>Ny värme "butiksdel"</v>
      </c>
      <c r="F40" s="215" t="s">
        <v>26</v>
      </c>
      <c r="G40" s="177">
        <f>IF(Åtgärdslista32[[#This Row],[Kolumn42]]="ja",VLOOKUP(Åtgärdslista32[[#This Row],[Kolumn3]],Åtgärdslista3[[Kolumn3]:[Kolumn5]],19,FALSE),"-")</f>
        <v>0</v>
      </c>
      <c r="H40" s="178">
        <f>IF(Åtgärdslista32[[#This Row],[Kolumn42]]="ja",VLOOKUP(Åtgärdslista32[[#This Row],[Kolumn3]],Åtgärdslista3[[Kolumn3]:[Kolumn5]],20,FALSE),"-")</f>
        <v>300</v>
      </c>
      <c r="I40" s="178" t="str">
        <f>IFERROR(Åtgärdslista32[[#This Row],[Kolumn5]]/Åtgärdslista32[[#This Row],[Kolumn11]],"-")</f>
        <v>-</v>
      </c>
      <c r="J40" s="197">
        <f>IF(Åtgärdslista32[[#This Row],[Kolumn33]]="","",IFERROR(VLOOKUP(Åtgärdslista32[[#This Row],[Kolumn33]],'Nuvärdesberäkning år'!$C$3:$D$23,2,FALSE),"Kategori saknas"))</f>
        <v>20</v>
      </c>
      <c r="K40" s="45">
        <f t="shared" si="1"/>
        <v>-300</v>
      </c>
      <c r="L40" s="146"/>
      <c r="M40" s="77"/>
      <c r="N40" s="77"/>
      <c r="O40" s="148"/>
      <c r="P40" s="143" t="str">
        <f>IF(Åtgärdslista32[[#This Row],[Kolumn1]]&lt;&gt;"",Åtgärdslista32[[#This Row],[Kolumn11]],"-")</f>
        <v>-</v>
      </c>
      <c r="Q40" s="135" t="str">
        <f>IF(Åtgärdslista32[[#This Row],[Kolumn1]]&lt;&gt;"",Åtgärdslista32[[#This Row],[Kolumn5]],"-")</f>
        <v>-</v>
      </c>
      <c r="R40" s="135" t="str">
        <f>IF(Åtgärdslista32[[#This Row],[Kolumn6]]&lt;&gt;"",Åtgärdslista32[[#This Row],[Kolumn11]],"-")</f>
        <v>-</v>
      </c>
      <c r="S40" s="135" t="str">
        <f>IF(Åtgärdslista32[[#This Row],[Kolumn22]]&lt;&gt;"",Åtgärdslista32[[#This Row],[Kolumn5]],"-")</f>
        <v>-</v>
      </c>
      <c r="T40" s="135" t="str">
        <f>IF(Åtgärdslista32[[#This Row],[Kolumn22]]&lt;&gt;"",Åtgärdslista32[[#This Row],[Kolumn11]],"-")</f>
        <v>-</v>
      </c>
      <c r="U40" s="135" t="str">
        <f>IF(Åtgärdslista32[[#This Row],[Kolumn22]]&lt;&gt;"",Åtgärdslista32[[#This Row],[Kolumn5]],"-")</f>
        <v>-</v>
      </c>
      <c r="V40" s="135" t="str">
        <f>IF(Åtgärdslista32[[#This Row],[Kolumn43]]&lt;&gt;"",Åtgärdslista32[[#This Row],[Kolumn11]],"-")</f>
        <v>-</v>
      </c>
      <c r="W40" s="135" t="str">
        <f>IF(Åtgärdslista32[[#This Row],[Kolumn43]]&lt;&gt;"",Åtgärdslista32[[#This Row],[Kolumn5]],"-")</f>
        <v>-</v>
      </c>
    </row>
    <row r="41" spans="1:23" s="13" customFormat="1" ht="15.6" x14ac:dyDescent="0.3">
      <c r="A41"/>
      <c r="B41" s="25">
        <v>25</v>
      </c>
      <c r="C41" s="26" t="str">
        <f>IF(VLOOKUP(Åtgärdslista32[[#This Row],[Kolumn3]],Åtgärdslista3[[Kolumn3]:[Kolumn5]],2,FALSE)="","",VLOOKUP(Åtgärdslista32[[#This Row],[Kolumn3]],Åtgärdslista3[[Kolumn3]:[Kolumn5]],2,FALSE))</f>
        <v>Orren 6,7,8</v>
      </c>
      <c r="D41" s="26" t="str">
        <f>IF(VLOOKUP(Åtgärdslista32[[#This Row],[Kolumn3]],Åtgärdslista3[[Kolumn3]:[Kolumn5]],3,FALSE)="","",VLOOKUP(Åtgärdslista32[[#This Row],[Kolumn3]],Åtgärdslista3[[Kolumn3]:[Kolumn5]],3,FALSE))</f>
        <v>Ventilation</v>
      </c>
      <c r="E41" s="12" t="str">
        <f>IF(VLOOKUP(Åtgärdslista32[[#This Row],[Kolumn3]],Åtgärdslista3[[Kolumn3]:[Kolumn5]],4,FALSE)="","",VLOOKUP(Åtgärdslista32[[#This Row],[Kolumn3]],Åtgärdslista3[[Kolumn3]:[Kolumn5]],4,FALSE))</f>
        <v>Ny FTX "Butiksdel"</v>
      </c>
      <c r="F41" s="215" t="s">
        <v>26</v>
      </c>
      <c r="G41" s="177">
        <f>IF(Åtgärdslista32[[#This Row],[Kolumn42]]="ja",VLOOKUP(Åtgärdslista32[[#This Row],[Kolumn3]],Åtgärdslista3[[Kolumn3]:[Kolumn5]],19,FALSE),"-")</f>
        <v>21.492999999999999</v>
      </c>
      <c r="H41" s="178">
        <f>IF(Åtgärdslista32[[#This Row],[Kolumn42]]="ja",VLOOKUP(Åtgärdslista32[[#This Row],[Kolumn3]],Åtgärdslista3[[Kolumn3]:[Kolumn5]],20,FALSE),"-")</f>
        <v>250</v>
      </c>
      <c r="I41" s="178">
        <f>IFERROR(Åtgärdslista32[[#This Row],[Kolumn5]]/Åtgärdslista32[[#This Row],[Kolumn11]],"-")</f>
        <v>11.631694039919974</v>
      </c>
      <c r="J41" s="197">
        <f>IF(Åtgärdslista32[[#This Row],[Kolumn33]]="","",IFERROR(VLOOKUP(Åtgärdslista32[[#This Row],[Kolumn33]],'Nuvärdesberäkning år'!$C$3:$D$23,2,FALSE),"Kategori saknas"))</f>
        <v>20</v>
      </c>
      <c r="K41" s="45">
        <f t="shared" si="1"/>
        <v>69.76156717577004</v>
      </c>
      <c r="L41" s="146"/>
      <c r="M41" s="77"/>
      <c r="N41" s="77"/>
      <c r="O41" s="148"/>
      <c r="P41" s="143" t="str">
        <f>IF(Åtgärdslista32[[#This Row],[Kolumn1]]&lt;&gt;"",Åtgärdslista32[[#This Row],[Kolumn11]],"-")</f>
        <v>-</v>
      </c>
      <c r="Q41" s="135" t="str">
        <f>IF(Åtgärdslista32[[#This Row],[Kolumn1]]&lt;&gt;"",Åtgärdslista32[[#This Row],[Kolumn5]],"-")</f>
        <v>-</v>
      </c>
      <c r="R41" s="135" t="str">
        <f>IF(Åtgärdslista32[[#This Row],[Kolumn6]]&lt;&gt;"",Åtgärdslista32[[#This Row],[Kolumn11]],"-")</f>
        <v>-</v>
      </c>
      <c r="S41" s="135" t="str">
        <f>IF(Åtgärdslista32[[#This Row],[Kolumn22]]&lt;&gt;"",Åtgärdslista32[[#This Row],[Kolumn5]],"-")</f>
        <v>-</v>
      </c>
      <c r="T41" s="135" t="str">
        <f>IF(Åtgärdslista32[[#This Row],[Kolumn22]]&lt;&gt;"",Åtgärdslista32[[#This Row],[Kolumn11]],"-")</f>
        <v>-</v>
      </c>
      <c r="U41" s="135" t="str">
        <f>IF(Åtgärdslista32[[#This Row],[Kolumn22]]&lt;&gt;"",Åtgärdslista32[[#This Row],[Kolumn5]],"-")</f>
        <v>-</v>
      </c>
      <c r="V41" s="135" t="str">
        <f>IF(Åtgärdslista32[[#This Row],[Kolumn43]]&lt;&gt;"",Åtgärdslista32[[#This Row],[Kolumn11]],"-")</f>
        <v>-</v>
      </c>
      <c r="W41" s="135" t="str">
        <f>IF(Åtgärdslista32[[#This Row],[Kolumn43]]&lt;&gt;"",Åtgärdslista32[[#This Row],[Kolumn5]],"-")</f>
        <v>-</v>
      </c>
    </row>
    <row r="42" spans="1:23" s="13" customFormat="1" ht="15.6" x14ac:dyDescent="0.3">
      <c r="A42"/>
      <c r="B42" s="25">
        <v>26</v>
      </c>
      <c r="C42" s="26" t="str">
        <f>IF(VLOOKUP(Åtgärdslista32[[#This Row],[Kolumn3]],Åtgärdslista3[[Kolumn3]:[Kolumn5]],2,FALSE)="","",VLOOKUP(Åtgärdslista32[[#This Row],[Kolumn3]],Åtgärdslista3[[Kolumn3]:[Kolumn5]],2,FALSE))</f>
        <v>Skäppan 1</v>
      </c>
      <c r="D42" s="26" t="str">
        <f>IF(VLOOKUP(Åtgärdslista32[[#This Row],[Kolumn3]],Åtgärdslista3[[Kolumn3]:[Kolumn5]],3,FALSE)="","",VLOOKUP(Åtgärdslista32[[#This Row],[Kolumn3]],Åtgärdslista3[[Kolumn3]:[Kolumn5]],3,FALSE))</f>
        <v>Vattenspar</v>
      </c>
      <c r="E42" s="12" t="str">
        <f>IF(VLOOKUP(Åtgärdslista32[[#This Row],[Kolumn3]],Åtgärdslista3[[Kolumn3]:[Kolumn5]],4,FALSE)="","",VLOOKUP(Åtgärdslista32[[#This Row],[Kolumn3]],Åtgärdslista3[[Kolumn3]:[Kolumn5]],4,FALSE))</f>
        <v>Vattenspar</v>
      </c>
      <c r="F42" s="215" t="s">
        <v>26</v>
      </c>
      <c r="G42" s="177">
        <f>IF(Åtgärdslista32[[#This Row],[Kolumn42]]="ja",VLOOKUP(Åtgärdslista32[[#This Row],[Kolumn3]],Åtgärdslista3[[Kolumn3]:[Kolumn5]],19,FALSE),"-")</f>
        <v>5.7210000000000001</v>
      </c>
      <c r="H42" s="178">
        <f>IF(Åtgärdslista32[[#This Row],[Kolumn42]]="ja",VLOOKUP(Åtgärdslista32[[#This Row],[Kolumn3]],Åtgärdslista3[[Kolumn3]:[Kolumn5]],20,FALSE),"-")</f>
        <v>8</v>
      </c>
      <c r="I42" s="178">
        <f>IFERROR(Åtgärdslista32[[#This Row],[Kolumn5]]/Åtgärdslista32[[#This Row],[Kolumn11]],"-")</f>
        <v>1.3983569306065373</v>
      </c>
      <c r="J42" s="197">
        <f>IF(Åtgärdslista32[[#This Row],[Kolumn33]]="","",IFERROR(VLOOKUP(Åtgärdslista32[[#This Row],[Kolumn33]],'Nuvärdesberäkning år'!$C$3:$D$23,2,FALSE),"Kategori saknas"))</f>
        <v>10</v>
      </c>
      <c r="K42" s="45">
        <f t="shared" si="1"/>
        <v>40.801290429194502</v>
      </c>
      <c r="L42" s="146"/>
      <c r="M42" s="77"/>
      <c r="N42" s="77"/>
      <c r="O42" s="148"/>
      <c r="P42" s="143" t="str">
        <f>IF(Åtgärdslista32[[#This Row],[Kolumn1]]&lt;&gt;"",Åtgärdslista32[[#This Row],[Kolumn11]],"-")</f>
        <v>-</v>
      </c>
      <c r="Q42" s="135" t="str">
        <f>IF(Åtgärdslista32[[#This Row],[Kolumn1]]&lt;&gt;"",Åtgärdslista32[[#This Row],[Kolumn5]],"-")</f>
        <v>-</v>
      </c>
      <c r="R42" s="135" t="str">
        <f>IF(Åtgärdslista32[[#This Row],[Kolumn6]]&lt;&gt;"",Åtgärdslista32[[#This Row],[Kolumn11]],"-")</f>
        <v>-</v>
      </c>
      <c r="S42" s="135" t="str">
        <f>IF(Åtgärdslista32[[#This Row],[Kolumn22]]&lt;&gt;"",Åtgärdslista32[[#This Row],[Kolumn5]],"-")</f>
        <v>-</v>
      </c>
      <c r="T42" s="135" t="str">
        <f>IF(Åtgärdslista32[[#This Row],[Kolumn22]]&lt;&gt;"",Åtgärdslista32[[#This Row],[Kolumn11]],"-")</f>
        <v>-</v>
      </c>
      <c r="U42" s="135" t="str">
        <f>IF(Åtgärdslista32[[#This Row],[Kolumn22]]&lt;&gt;"",Åtgärdslista32[[#This Row],[Kolumn5]],"-")</f>
        <v>-</v>
      </c>
      <c r="V42" s="135" t="str">
        <f>IF(Åtgärdslista32[[#This Row],[Kolumn43]]&lt;&gt;"",Åtgärdslista32[[#This Row],[Kolumn11]],"-")</f>
        <v>-</v>
      </c>
      <c r="W42" s="135" t="str">
        <f>IF(Åtgärdslista32[[#This Row],[Kolumn43]]&lt;&gt;"",Åtgärdslista32[[#This Row],[Kolumn5]],"-")</f>
        <v>-</v>
      </c>
    </row>
    <row r="43" spans="1:23" s="13" customFormat="1" ht="15.6" x14ac:dyDescent="0.3">
      <c r="A43"/>
      <c r="B43" s="25">
        <v>27</v>
      </c>
      <c r="C43" s="26" t="str">
        <f>IF(VLOOKUP(Åtgärdslista32[[#This Row],[Kolumn3]],Åtgärdslista3[[Kolumn3]:[Kolumn5]],2,FALSE)="","",VLOOKUP(Åtgärdslista32[[#This Row],[Kolumn3]],Åtgärdslista3[[Kolumn3]:[Kolumn5]],2,FALSE))</f>
        <v>Skäppan 1</v>
      </c>
      <c r="D43" s="26" t="str">
        <f>IF(VLOOKUP(Åtgärdslista32[[#This Row],[Kolumn3]],Åtgärdslista3[[Kolumn3]:[Kolumn5]],3,FALSE)="","",VLOOKUP(Åtgärdslista32[[#This Row],[Kolumn3]],Åtgärdslista3[[Kolumn3]:[Kolumn5]],3,FALSE))</f>
        <v>Styr &amp; övervakning</v>
      </c>
      <c r="E43" s="12" t="str">
        <f>IF(VLOOKUP(Åtgärdslista32[[#This Row],[Kolumn3]],Åtgärdslista3[[Kolumn3]:[Kolumn5]],4,FALSE)="","",VLOOKUP(Åtgärdslista32[[#This Row],[Kolumn3]],Åtgärdslista3[[Kolumn3]:[Kolumn5]],4,FALSE))</f>
        <v>Styr och regler</v>
      </c>
      <c r="F43" s="215" t="s">
        <v>26</v>
      </c>
      <c r="G43" s="177">
        <f>IF(Åtgärdslista32[[#This Row],[Kolumn42]]="ja",VLOOKUP(Åtgärdslista32[[#This Row],[Kolumn3]],Åtgärdslista3[[Kolumn3]:[Kolumn5]],19,FALSE),"-")</f>
        <v>6.6239999999999997</v>
      </c>
      <c r="H43" s="178">
        <f>IF(Åtgärdslista32[[#This Row],[Kolumn42]]="ja",VLOOKUP(Åtgärdslista32[[#This Row],[Kolumn3]],Åtgärdslista3[[Kolumn3]:[Kolumn5]],20,FALSE),"-")</f>
        <v>60</v>
      </c>
      <c r="I43" s="178">
        <f>IFERROR(Åtgärdslista32[[#This Row],[Kolumn5]]/Åtgärdslista32[[#This Row],[Kolumn11]],"-")</f>
        <v>9.0579710144927539</v>
      </c>
      <c r="J43" s="197">
        <f>IF(Åtgärdslista32[[#This Row],[Kolumn33]]="","",IFERROR(VLOOKUP(Åtgärdslista32[[#This Row],[Kolumn33]],'Nuvärdesberäkning år'!$C$3:$D$23,2,FALSE),"Kategori saknas"))</f>
        <v>15</v>
      </c>
      <c r="K43" s="45">
        <f t="shared" si="1"/>
        <v>19.076882014804724</v>
      </c>
      <c r="L43" s="146"/>
      <c r="M43" s="77"/>
      <c r="N43" s="77"/>
      <c r="O43" s="148"/>
      <c r="P43" s="143" t="str">
        <f>IF(Åtgärdslista32[[#This Row],[Kolumn1]]&lt;&gt;"",Åtgärdslista32[[#This Row],[Kolumn11]],"-")</f>
        <v>-</v>
      </c>
      <c r="Q43" s="135" t="str">
        <f>IF(Åtgärdslista32[[#This Row],[Kolumn1]]&lt;&gt;"",Åtgärdslista32[[#This Row],[Kolumn5]],"-")</f>
        <v>-</v>
      </c>
      <c r="R43" s="135" t="str">
        <f>IF(Åtgärdslista32[[#This Row],[Kolumn6]]&lt;&gt;"",Åtgärdslista32[[#This Row],[Kolumn11]],"-")</f>
        <v>-</v>
      </c>
      <c r="S43" s="135" t="str">
        <f>IF(Åtgärdslista32[[#This Row],[Kolumn22]]&lt;&gt;"",Åtgärdslista32[[#This Row],[Kolumn5]],"-")</f>
        <v>-</v>
      </c>
      <c r="T43" s="135" t="str">
        <f>IF(Åtgärdslista32[[#This Row],[Kolumn22]]&lt;&gt;"",Åtgärdslista32[[#This Row],[Kolumn11]],"-")</f>
        <v>-</v>
      </c>
      <c r="U43" s="135" t="str">
        <f>IF(Åtgärdslista32[[#This Row],[Kolumn22]]&lt;&gt;"",Åtgärdslista32[[#This Row],[Kolumn5]],"-")</f>
        <v>-</v>
      </c>
      <c r="V43" s="135" t="str">
        <f>IF(Åtgärdslista32[[#This Row],[Kolumn43]]&lt;&gt;"",Åtgärdslista32[[#This Row],[Kolumn11]],"-")</f>
        <v>-</v>
      </c>
      <c r="W43" s="135" t="str">
        <f>IF(Åtgärdslista32[[#This Row],[Kolumn43]]&lt;&gt;"",Åtgärdslista32[[#This Row],[Kolumn5]],"-")</f>
        <v>-</v>
      </c>
    </row>
    <row r="44" spans="1:23" s="13" customFormat="1" ht="15.6" x14ac:dyDescent="0.3">
      <c r="A44"/>
      <c r="B44" s="25">
        <v>28</v>
      </c>
      <c r="C44" s="26" t="str">
        <f>IF(VLOOKUP(Åtgärdslista32[[#This Row],[Kolumn3]],Åtgärdslista3[[Kolumn3]:[Kolumn5]],2,FALSE)="","",VLOOKUP(Åtgärdslista32[[#This Row],[Kolumn3]],Åtgärdslista3[[Kolumn3]:[Kolumn5]],2,FALSE))</f>
        <v>Skäppan 1</v>
      </c>
      <c r="D44" s="26" t="str">
        <f>IF(VLOOKUP(Åtgärdslista32[[#This Row],[Kolumn3]],Åtgärdslista3[[Kolumn3]:[Kolumn5]],3,FALSE)="","",VLOOKUP(Åtgärdslista32[[#This Row],[Kolumn3]],Åtgärdslista3[[Kolumn3]:[Kolumn5]],3,FALSE))</f>
        <v>Värme</v>
      </c>
      <c r="E44" s="12" t="str">
        <f>IF(VLOOKUP(Åtgärdslista32[[#This Row],[Kolumn3]],Åtgärdslista3[[Kolumn3]:[Kolumn5]],4,FALSE)="","",VLOOKUP(Åtgärdslista32[[#This Row],[Kolumn3]],Åtgärdslista3[[Kolumn3]:[Kolumn5]],4,FALSE))</f>
        <v>Frånluftsvärmepump</v>
      </c>
      <c r="F44" s="215" t="s">
        <v>26</v>
      </c>
      <c r="G44" s="177">
        <f>IF(Åtgärdslista32[[#This Row],[Kolumn42]]="ja",VLOOKUP(Åtgärdslista32[[#This Row],[Kolumn3]],Åtgärdslista3[[Kolumn3]:[Kolumn5]],19,FALSE),"-")</f>
        <v>20.175999999999995</v>
      </c>
      <c r="H44" s="178">
        <f>IF(Åtgärdslista32[[#This Row],[Kolumn42]]="ja",VLOOKUP(Åtgärdslista32[[#This Row],[Kolumn3]],Åtgärdslista3[[Kolumn3]:[Kolumn5]],20,FALSE),"-")</f>
        <v>250</v>
      </c>
      <c r="I44" s="178">
        <f>IFERROR(Åtgärdslista32[[#This Row],[Kolumn5]]/Åtgärdslista32[[#This Row],[Kolumn11]],"-")</f>
        <v>12.390959555908013</v>
      </c>
      <c r="J44" s="197">
        <f>IF(Åtgärdslista32[[#This Row],[Kolumn33]]="","",IFERROR(VLOOKUP(Åtgärdslista32[[#This Row],[Kolumn33]],'Nuvärdesberäkning år'!$C$3:$D$23,2,FALSE),"Kategori saknas"))</f>
        <v>20</v>
      </c>
      <c r="K44" s="45">
        <f t="shared" si="1"/>
        <v>50.167932784550089</v>
      </c>
      <c r="L44" s="146"/>
      <c r="M44" s="77"/>
      <c r="N44" s="77"/>
      <c r="O44" s="148"/>
      <c r="P44" s="143" t="str">
        <f>IF(Åtgärdslista32[[#This Row],[Kolumn1]]&lt;&gt;"",Åtgärdslista32[[#This Row],[Kolumn11]],"-")</f>
        <v>-</v>
      </c>
      <c r="Q44" s="135" t="str">
        <f>IF(Åtgärdslista32[[#This Row],[Kolumn1]]&lt;&gt;"",Åtgärdslista32[[#This Row],[Kolumn5]],"-")</f>
        <v>-</v>
      </c>
      <c r="R44" s="135" t="str">
        <f>IF(Åtgärdslista32[[#This Row],[Kolumn6]]&lt;&gt;"",Åtgärdslista32[[#This Row],[Kolumn11]],"-")</f>
        <v>-</v>
      </c>
      <c r="S44" s="135" t="str">
        <f>IF(Åtgärdslista32[[#This Row],[Kolumn22]]&lt;&gt;"",Åtgärdslista32[[#This Row],[Kolumn5]],"-")</f>
        <v>-</v>
      </c>
      <c r="T44" s="135" t="str">
        <f>IF(Åtgärdslista32[[#This Row],[Kolumn22]]&lt;&gt;"",Åtgärdslista32[[#This Row],[Kolumn11]],"-")</f>
        <v>-</v>
      </c>
      <c r="U44" s="135" t="str">
        <f>IF(Åtgärdslista32[[#This Row],[Kolumn22]]&lt;&gt;"",Åtgärdslista32[[#This Row],[Kolumn5]],"-")</f>
        <v>-</v>
      </c>
      <c r="V44" s="135" t="str">
        <f>IF(Åtgärdslista32[[#This Row],[Kolumn43]]&lt;&gt;"",Åtgärdslista32[[#This Row],[Kolumn11]],"-")</f>
        <v>-</v>
      </c>
      <c r="W44" s="135" t="str">
        <f>IF(Åtgärdslista32[[#This Row],[Kolumn43]]&lt;&gt;"",Åtgärdslista32[[#This Row],[Kolumn5]],"-")</f>
        <v>-</v>
      </c>
    </row>
    <row r="45" spans="1:23" s="13" customFormat="1" ht="15.6" x14ac:dyDescent="0.3">
      <c r="A45"/>
      <c r="B45" s="25">
        <v>29</v>
      </c>
      <c r="C45" s="26" t="str">
        <f>IF(VLOOKUP(Åtgärdslista32[[#This Row],[Kolumn3]],Åtgärdslista3[[Kolumn3]:[Kolumn5]],2,FALSE)="","",VLOOKUP(Åtgärdslista32[[#This Row],[Kolumn3]],Åtgärdslista3[[Kolumn3]:[Kolumn5]],2,FALSE))</f>
        <v>Göken 21</v>
      </c>
      <c r="D45" s="26" t="str">
        <f>IF(VLOOKUP(Åtgärdslista32[[#This Row],[Kolumn3]],Åtgärdslista3[[Kolumn3]:[Kolumn5]],3,FALSE)="","",VLOOKUP(Åtgärdslista32[[#This Row],[Kolumn3]],Åtgärdslista3[[Kolumn3]:[Kolumn5]],3,FALSE))</f>
        <v>Värme</v>
      </c>
      <c r="E45" s="12" t="str">
        <f>IF(VLOOKUP(Åtgärdslista32[[#This Row],[Kolumn3]],Åtgärdslista3[[Kolumn3]:[Kolumn5]],4,FALSE)="","",VLOOKUP(Åtgärdslista32[[#This Row],[Kolumn3]],Åtgärdslista3[[Kolumn3]:[Kolumn5]],4,FALSE))</f>
        <v>Frånluftsvärmepump</v>
      </c>
      <c r="F45" s="215" t="s">
        <v>26</v>
      </c>
      <c r="G45" s="177">
        <f>IF(Åtgärdslista32[[#This Row],[Kolumn42]]="ja",VLOOKUP(Åtgärdslista32[[#This Row],[Kolumn3]],Åtgärdslista3[[Kolumn3]:[Kolumn5]],19,FALSE),"-")</f>
        <v>195.93999999999997</v>
      </c>
      <c r="H45" s="178">
        <f>IF(Åtgärdslista32[[#This Row],[Kolumn42]]="ja",VLOOKUP(Åtgärdslista32[[#This Row],[Kolumn3]],Åtgärdslista3[[Kolumn3]:[Kolumn5]],20,FALSE),"-")</f>
        <v>1700</v>
      </c>
      <c r="I45" s="178">
        <f>IFERROR(Åtgärdslista32[[#This Row],[Kolumn5]]/Åtgärdslista32[[#This Row],[Kolumn11]],"-")</f>
        <v>8.6761253444932134</v>
      </c>
      <c r="J45" s="197">
        <f>IF(Åtgärdslista32[[#This Row],[Kolumn33]]="","",IFERROR(VLOOKUP(Åtgärdslista32[[#This Row],[Kolumn33]],'Nuvärdesberäkning år'!$C$3:$D$23,2,FALSE),"Kategori saknas"))</f>
        <v>20</v>
      </c>
      <c r="K45" s="45">
        <f t="shared" si="1"/>
        <v>1215.0924241576499</v>
      </c>
      <c r="L45" s="146"/>
      <c r="M45" s="77"/>
      <c r="N45" s="77" t="s">
        <v>114</v>
      </c>
      <c r="O45" s="148"/>
      <c r="P45" s="143" t="str">
        <f>IF(Åtgärdslista32[[#This Row],[Kolumn1]]&lt;&gt;"",Åtgärdslista32[[#This Row],[Kolumn11]],"-")</f>
        <v>-</v>
      </c>
      <c r="Q45" s="135" t="str">
        <f>IF(Åtgärdslista32[[#This Row],[Kolumn1]]&lt;&gt;"",Åtgärdslista32[[#This Row],[Kolumn5]],"-")</f>
        <v>-</v>
      </c>
      <c r="R45" s="135" t="str">
        <f>IF(Åtgärdslista32[[#This Row],[Kolumn6]]&lt;&gt;"",Åtgärdslista32[[#This Row],[Kolumn11]],"-")</f>
        <v>-</v>
      </c>
      <c r="S45" s="135">
        <f>IF(Åtgärdslista32[[#This Row],[Kolumn22]]&lt;&gt;"",Åtgärdslista32[[#This Row],[Kolumn5]],"-")</f>
        <v>1700</v>
      </c>
      <c r="T45" s="135">
        <f>IF(Åtgärdslista32[[#This Row],[Kolumn22]]&lt;&gt;"",Åtgärdslista32[[#This Row],[Kolumn11]],"-")</f>
        <v>195.93999999999997</v>
      </c>
      <c r="U45" s="135">
        <f>IF(Åtgärdslista32[[#This Row],[Kolumn22]]&lt;&gt;"",Åtgärdslista32[[#This Row],[Kolumn5]],"-")</f>
        <v>1700</v>
      </c>
      <c r="V45" s="135" t="str">
        <f>IF(Åtgärdslista32[[#This Row],[Kolumn43]]&lt;&gt;"",Åtgärdslista32[[#This Row],[Kolumn11]],"-")</f>
        <v>-</v>
      </c>
      <c r="W45" s="135" t="str">
        <f>IF(Åtgärdslista32[[#This Row],[Kolumn43]]&lt;&gt;"",Åtgärdslista32[[#This Row],[Kolumn5]],"-")</f>
        <v>-</v>
      </c>
    </row>
    <row r="46" spans="1:23" s="13" customFormat="1" ht="15.6" x14ac:dyDescent="0.3">
      <c r="A46"/>
      <c r="B46" s="25">
        <v>30</v>
      </c>
      <c r="C46" s="26" t="str">
        <f>IF(VLOOKUP(Åtgärdslista32[[#This Row],[Kolumn3]],Åtgärdslista3[[Kolumn3]:[Kolumn5]],2,FALSE)="","",VLOOKUP(Åtgärdslista32[[#This Row],[Kolumn3]],Åtgärdslista3[[Kolumn3]:[Kolumn5]],2,FALSE))</f>
        <v>Göken 21</v>
      </c>
      <c r="D46" s="26" t="str">
        <f>IF(VLOOKUP(Åtgärdslista32[[#This Row],[Kolumn3]],Åtgärdslista3[[Kolumn3]:[Kolumn5]],3,FALSE)="","",VLOOKUP(Åtgärdslista32[[#This Row],[Kolumn3]],Åtgärdslista3[[Kolumn3]:[Kolumn5]],3,FALSE))</f>
        <v>Vattenspar</v>
      </c>
      <c r="E46" s="12" t="str">
        <f>IF(VLOOKUP(Åtgärdslista32[[#This Row],[Kolumn3]],Åtgärdslista3[[Kolumn3]:[Kolumn5]],4,FALSE)="","",VLOOKUP(Åtgärdslista32[[#This Row],[Kolumn3]],Åtgärdslista3[[Kolumn3]:[Kolumn5]],4,FALSE))</f>
        <v>Vattenspar</v>
      </c>
      <c r="F46" s="215" t="s">
        <v>26</v>
      </c>
      <c r="G46" s="177">
        <f>IF(Åtgärdslista32[[#This Row],[Kolumn42]]="ja",VLOOKUP(Åtgärdslista32[[#This Row],[Kolumn3]],Åtgärdslista3[[Kolumn3]:[Kolumn5]],19,FALSE),"-")</f>
        <v>8.5559999999999992</v>
      </c>
      <c r="H46" s="178">
        <f>IF(Åtgärdslista32[[#This Row],[Kolumn42]]="ja",VLOOKUP(Åtgärdslista32[[#This Row],[Kolumn3]],Åtgärdslista3[[Kolumn3]:[Kolumn5]],20,FALSE),"-")</f>
        <v>125.60000000000001</v>
      </c>
      <c r="I46" s="178">
        <f>IFERROR(Åtgärdslista32[[#This Row],[Kolumn5]]/Åtgärdslista32[[#This Row],[Kolumn11]],"-")</f>
        <v>14.679756895745678</v>
      </c>
      <c r="J46" s="197">
        <f>IF(Åtgärdslista32[[#This Row],[Kolumn33]]="","",IFERROR(VLOOKUP(Åtgärdslista32[[#This Row],[Kolumn33]],'Nuvärdesberäkning år'!$C$3:$D$23,2,FALSE),"Kategori saknas"))</f>
        <v>10</v>
      </c>
      <c r="K46" s="45">
        <f t="shared" si="1"/>
        <v>-52.615584528546052</v>
      </c>
      <c r="L46" s="146"/>
      <c r="M46" s="77"/>
      <c r="N46" s="77" t="s">
        <v>114</v>
      </c>
      <c r="O46" s="148" t="s">
        <v>114</v>
      </c>
      <c r="P46" s="143" t="str">
        <f>IF(Åtgärdslista32[[#This Row],[Kolumn1]]&lt;&gt;"",Åtgärdslista32[[#This Row],[Kolumn11]],"-")</f>
        <v>-</v>
      </c>
      <c r="Q46" s="135" t="str">
        <f>IF(Åtgärdslista32[[#This Row],[Kolumn1]]&lt;&gt;"",Åtgärdslista32[[#This Row],[Kolumn5]],"-")</f>
        <v>-</v>
      </c>
      <c r="R46" s="135" t="str">
        <f>IF(Åtgärdslista32[[#This Row],[Kolumn6]]&lt;&gt;"",Åtgärdslista32[[#This Row],[Kolumn11]],"-")</f>
        <v>-</v>
      </c>
      <c r="S46" s="135">
        <f>IF(Åtgärdslista32[[#This Row],[Kolumn22]]&lt;&gt;"",Åtgärdslista32[[#This Row],[Kolumn5]],"-")</f>
        <v>125.60000000000001</v>
      </c>
      <c r="T46" s="135">
        <f>IF(Åtgärdslista32[[#This Row],[Kolumn22]]&lt;&gt;"",Åtgärdslista32[[#This Row],[Kolumn11]],"-")</f>
        <v>8.5559999999999992</v>
      </c>
      <c r="U46" s="135">
        <f>IF(Åtgärdslista32[[#This Row],[Kolumn22]]&lt;&gt;"",Åtgärdslista32[[#This Row],[Kolumn5]],"-")</f>
        <v>125.60000000000001</v>
      </c>
      <c r="V46" s="135">
        <f>IF(Åtgärdslista32[[#This Row],[Kolumn43]]&lt;&gt;"",Åtgärdslista32[[#This Row],[Kolumn11]],"-")</f>
        <v>8.5559999999999992</v>
      </c>
      <c r="W46" s="135">
        <f>IF(Åtgärdslista32[[#This Row],[Kolumn43]]&lt;&gt;"",Åtgärdslista32[[#This Row],[Kolumn5]],"-")</f>
        <v>125.60000000000001</v>
      </c>
    </row>
    <row r="47" spans="1:23" s="13" customFormat="1" ht="15.6" x14ac:dyDescent="0.3">
      <c r="A47"/>
      <c r="B47" s="25">
        <v>31</v>
      </c>
      <c r="C47" s="26" t="str">
        <f>IF(VLOOKUP(Åtgärdslista32[[#This Row],[Kolumn3]],Åtgärdslista3[[Kolumn3]:[Kolumn5]],2,FALSE)="","",VLOOKUP(Åtgärdslista32[[#This Row],[Kolumn3]],Åtgärdslista3[[Kolumn3]:[Kolumn5]],2,FALSE))</f>
        <v>Linden 16</v>
      </c>
      <c r="D47" s="26" t="str">
        <f>IF(VLOOKUP(Åtgärdslista32[[#This Row],[Kolumn3]],Åtgärdslista3[[Kolumn3]:[Kolumn5]],3,FALSE)="","",VLOOKUP(Åtgärdslista32[[#This Row],[Kolumn3]],Åtgärdslista3[[Kolumn3]:[Kolumn5]],3,FALSE))</f>
        <v>Vattenspar</v>
      </c>
      <c r="E47" s="12" t="str">
        <f>IF(VLOOKUP(Åtgärdslista32[[#This Row],[Kolumn3]],Åtgärdslista3[[Kolumn3]:[Kolumn5]],4,FALSE)="","",VLOOKUP(Åtgärdslista32[[#This Row],[Kolumn3]],Åtgärdslista3[[Kolumn3]:[Kolumn5]],4,FALSE))</f>
        <v>Vattenspar</v>
      </c>
      <c r="F47" s="215" t="s">
        <v>26</v>
      </c>
      <c r="G47" s="177">
        <f>IF(Åtgärdslista32[[#This Row],[Kolumn42]]="ja",VLOOKUP(Åtgärdslista32[[#This Row],[Kolumn3]],Åtgärdslista3[[Kolumn3]:[Kolumn5]],19,FALSE),"-")</f>
        <v>0.75900000000000001</v>
      </c>
      <c r="H47" s="178">
        <f>IF(Åtgärdslista32[[#This Row],[Kolumn42]]="ja",VLOOKUP(Åtgärdslista32[[#This Row],[Kolumn3]],Åtgärdslista3[[Kolumn3]:[Kolumn5]],20,FALSE),"-")</f>
        <v>12</v>
      </c>
      <c r="I47" s="178">
        <f>IFERROR(Åtgärdslista32[[#This Row],[Kolumn5]]/Åtgärdslista32[[#This Row],[Kolumn11]],"-")</f>
        <v>15.810276679841897</v>
      </c>
      <c r="J47" s="197">
        <f>IF(Åtgärdslista32[[#This Row],[Kolumn33]]="","",IFERROR(VLOOKUP(Åtgärdslista32[[#This Row],[Kolumn33]],'Nuvärdesberäkning år'!$C$3:$D$23,2,FALSE),"Kategori saknas"))</f>
        <v>10</v>
      </c>
      <c r="K47" s="45">
        <f t="shared" si="1"/>
        <v>-5.5255760468871484</v>
      </c>
      <c r="L47" s="146"/>
      <c r="M47" s="77"/>
      <c r="N47" s="77"/>
      <c r="O47" s="148"/>
      <c r="P47" s="143" t="str">
        <f>IF(Åtgärdslista32[[#This Row],[Kolumn1]]&lt;&gt;"",Åtgärdslista32[[#This Row],[Kolumn11]],"-")</f>
        <v>-</v>
      </c>
      <c r="Q47" s="135" t="str">
        <f>IF(Åtgärdslista32[[#This Row],[Kolumn1]]&lt;&gt;"",Åtgärdslista32[[#This Row],[Kolumn5]],"-")</f>
        <v>-</v>
      </c>
      <c r="R47" s="135" t="str">
        <f>IF(Åtgärdslista32[[#This Row],[Kolumn6]]&lt;&gt;"",Åtgärdslista32[[#This Row],[Kolumn11]],"-")</f>
        <v>-</v>
      </c>
      <c r="S47" s="135" t="str">
        <f>IF(Åtgärdslista32[[#This Row],[Kolumn22]]&lt;&gt;"",Åtgärdslista32[[#This Row],[Kolumn5]],"-")</f>
        <v>-</v>
      </c>
      <c r="T47" s="135" t="str">
        <f>IF(Åtgärdslista32[[#This Row],[Kolumn22]]&lt;&gt;"",Åtgärdslista32[[#This Row],[Kolumn11]],"-")</f>
        <v>-</v>
      </c>
      <c r="U47" s="135" t="str">
        <f>IF(Åtgärdslista32[[#This Row],[Kolumn22]]&lt;&gt;"",Åtgärdslista32[[#This Row],[Kolumn5]],"-")</f>
        <v>-</v>
      </c>
      <c r="V47" s="135" t="str">
        <f>IF(Åtgärdslista32[[#This Row],[Kolumn43]]&lt;&gt;"",Åtgärdslista32[[#This Row],[Kolumn11]],"-")</f>
        <v>-</v>
      </c>
      <c r="W47" s="135" t="str">
        <f>IF(Åtgärdslista32[[#This Row],[Kolumn43]]&lt;&gt;"",Åtgärdslista32[[#This Row],[Kolumn5]],"-")</f>
        <v>-</v>
      </c>
    </row>
    <row r="48" spans="1:23" s="13" customFormat="1" ht="15.6" x14ac:dyDescent="0.3">
      <c r="A48"/>
      <c r="B48" s="25">
        <v>32</v>
      </c>
      <c r="C48" s="26" t="str">
        <f>IF(VLOOKUP(Åtgärdslista32[[#This Row],[Kolumn3]],Åtgärdslista3[[Kolumn3]:[Kolumn5]],2,FALSE)="","",VLOOKUP(Åtgärdslista32[[#This Row],[Kolumn3]],Åtgärdslista3[[Kolumn3]:[Kolumn5]],2,FALSE))</f>
        <v>Terassen 17</v>
      </c>
      <c r="D48" s="26" t="str">
        <f>IF(VLOOKUP(Åtgärdslista32[[#This Row],[Kolumn3]],Åtgärdslista3[[Kolumn3]:[Kolumn5]],3,FALSE)="","",VLOOKUP(Åtgärdslista32[[#This Row],[Kolumn3]],Åtgärdslista3[[Kolumn3]:[Kolumn5]],3,FALSE))</f>
        <v>Vattenspar</v>
      </c>
      <c r="E48" s="12" t="str">
        <f>IF(VLOOKUP(Åtgärdslista32[[#This Row],[Kolumn3]],Åtgärdslista3[[Kolumn3]:[Kolumn5]],4,FALSE)="","",VLOOKUP(Åtgärdslista32[[#This Row],[Kolumn3]],Åtgärdslista3[[Kolumn3]:[Kolumn5]],4,FALSE))</f>
        <v>Vattenspar</v>
      </c>
      <c r="F48" s="215" t="s">
        <v>26</v>
      </c>
      <c r="G48" s="177">
        <f>IF(Åtgärdslista32[[#This Row],[Kolumn42]]="ja",VLOOKUP(Åtgärdslista32[[#This Row],[Kolumn3]],Åtgärdslista3[[Kolumn3]:[Kolumn5]],19,FALSE),"-")</f>
        <v>8.5060000000000002</v>
      </c>
      <c r="H48" s="178">
        <f>IF(Åtgärdslista32[[#This Row],[Kolumn42]]="ja",VLOOKUP(Åtgärdslista32[[#This Row],[Kolumn3]],Åtgärdslista3[[Kolumn3]:[Kolumn5]],20,FALSE),"-")</f>
        <v>9.6000000000000014</v>
      </c>
      <c r="I48" s="178">
        <f>IFERROR(Åtgärdslista32[[#This Row],[Kolumn5]]/Åtgärdslista32[[#This Row],[Kolumn11]],"-")</f>
        <v>1.1286150952268987</v>
      </c>
      <c r="J48" s="197">
        <f>IF(Åtgärdslista32[[#This Row],[Kolumn33]]="","",IFERROR(VLOOKUP(Åtgärdslista32[[#This Row],[Kolumn33]],'Nuvärdesberäkning år'!$C$3:$D$23,2,FALSE),"Kategori saknas"))</f>
        <v>10</v>
      </c>
      <c r="K48" s="45">
        <f t="shared" si="1"/>
        <v>62.95790532961518</v>
      </c>
      <c r="L48" s="146"/>
      <c r="M48" s="77"/>
      <c r="N48" s="77"/>
      <c r="O48" s="148"/>
      <c r="P48" s="143" t="str">
        <f>IF(Åtgärdslista32[[#This Row],[Kolumn1]]&lt;&gt;"",Åtgärdslista32[[#This Row],[Kolumn11]],"-")</f>
        <v>-</v>
      </c>
      <c r="Q48" s="135" t="str">
        <f>IF(Åtgärdslista32[[#This Row],[Kolumn1]]&lt;&gt;"",Åtgärdslista32[[#This Row],[Kolumn5]],"-")</f>
        <v>-</v>
      </c>
      <c r="R48" s="135" t="str">
        <f>IF(Åtgärdslista32[[#This Row],[Kolumn6]]&lt;&gt;"",Åtgärdslista32[[#This Row],[Kolumn11]],"-")</f>
        <v>-</v>
      </c>
      <c r="S48" s="135" t="str">
        <f>IF(Åtgärdslista32[[#This Row],[Kolumn22]]&lt;&gt;"",Åtgärdslista32[[#This Row],[Kolumn5]],"-")</f>
        <v>-</v>
      </c>
      <c r="T48" s="135" t="str">
        <f>IF(Åtgärdslista32[[#This Row],[Kolumn22]]&lt;&gt;"",Åtgärdslista32[[#This Row],[Kolumn11]],"-")</f>
        <v>-</v>
      </c>
      <c r="U48" s="135" t="str">
        <f>IF(Åtgärdslista32[[#This Row],[Kolumn22]]&lt;&gt;"",Åtgärdslista32[[#This Row],[Kolumn5]],"-")</f>
        <v>-</v>
      </c>
      <c r="V48" s="135" t="str">
        <f>IF(Åtgärdslista32[[#This Row],[Kolumn43]]&lt;&gt;"",Åtgärdslista32[[#This Row],[Kolumn11]],"-")</f>
        <v>-</v>
      </c>
      <c r="W48" s="135" t="str">
        <f>IF(Åtgärdslista32[[#This Row],[Kolumn43]]&lt;&gt;"",Åtgärdslista32[[#This Row],[Kolumn5]],"-")</f>
        <v>-</v>
      </c>
    </row>
    <row r="49" spans="1:23" s="13" customFormat="1" ht="15.6" x14ac:dyDescent="0.3">
      <c r="A49"/>
      <c r="B49" s="25">
        <v>33</v>
      </c>
      <c r="C49" s="26" t="str">
        <f>IF(VLOOKUP(Åtgärdslista32[[#This Row],[Kolumn3]],Åtgärdslista3[[Kolumn3]:[Kolumn5]],2,FALSE)="","",VLOOKUP(Åtgärdslista32[[#This Row],[Kolumn3]],Åtgärdslista3[[Kolumn3]:[Kolumn5]],2,FALSE))</f>
        <v>Terassen 17</v>
      </c>
      <c r="D49" s="26" t="str">
        <f>IF(VLOOKUP(Åtgärdslista32[[#This Row],[Kolumn3]],Åtgärdslista3[[Kolumn3]:[Kolumn5]],3,FALSE)="","",VLOOKUP(Åtgärdslista32[[#This Row],[Kolumn3]],Åtgärdslista3[[Kolumn3]:[Kolumn5]],3,FALSE))</f>
        <v>Styr &amp; övervakning</v>
      </c>
      <c r="E49" s="12" t="str">
        <f>IF(VLOOKUP(Åtgärdslista32[[#This Row],[Kolumn3]],Åtgärdslista3[[Kolumn3]:[Kolumn5]],4,FALSE)="","",VLOOKUP(Åtgärdslista32[[#This Row],[Kolumn3]],Åtgärdslista3[[Kolumn3]:[Kolumn5]],4,FALSE))</f>
        <v>Styr och regler</v>
      </c>
      <c r="F49" s="215" t="s">
        <v>26</v>
      </c>
      <c r="G49" s="177">
        <f>IF(Åtgärdslista32[[#This Row],[Kolumn42]]="ja",VLOOKUP(Åtgärdslista32[[#This Row],[Kolumn3]],Åtgärdslista3[[Kolumn3]:[Kolumn5]],19,FALSE),"-")</f>
        <v>7.3829999999999991</v>
      </c>
      <c r="H49" s="178">
        <f>IF(Åtgärdslista32[[#This Row],[Kolumn42]]="ja",VLOOKUP(Åtgärdslista32[[#This Row],[Kolumn3]],Åtgärdslista3[[Kolumn3]:[Kolumn5]],20,FALSE),"-")</f>
        <v>60</v>
      </c>
      <c r="I49" s="178">
        <f>IFERROR(Åtgärdslista32[[#This Row],[Kolumn5]]/Åtgärdslista32[[#This Row],[Kolumn11]],"-")</f>
        <v>8.126777732629014</v>
      </c>
      <c r="J49" s="197">
        <f>IF(Åtgärdslista32[[#This Row],[Kolumn33]]="","",IFERROR(VLOOKUP(Åtgärdslista32[[#This Row],[Kolumn33]],'Nuvärdesberäkning år'!$C$3:$D$23,2,FALSE),"Kategori saknas"))</f>
        <v>15</v>
      </c>
      <c r="K49" s="45">
        <f t="shared" ref="K49:K75" si="2">IFERROR(-PV(($D$6-$D$7),J49,G49)-H49,"-")</f>
        <v>28.137774745667755</v>
      </c>
      <c r="L49" s="146"/>
      <c r="M49" s="77"/>
      <c r="N49" s="77"/>
      <c r="O49" s="148"/>
      <c r="P49" s="143" t="str">
        <f>IF(Åtgärdslista32[[#This Row],[Kolumn1]]&lt;&gt;"",Åtgärdslista32[[#This Row],[Kolumn11]],"-")</f>
        <v>-</v>
      </c>
      <c r="Q49" s="135" t="str">
        <f>IF(Åtgärdslista32[[#This Row],[Kolumn1]]&lt;&gt;"",Åtgärdslista32[[#This Row],[Kolumn5]],"-")</f>
        <v>-</v>
      </c>
      <c r="R49" s="135" t="str">
        <f>IF(Åtgärdslista32[[#This Row],[Kolumn6]]&lt;&gt;"",Åtgärdslista32[[#This Row],[Kolumn11]],"-")</f>
        <v>-</v>
      </c>
      <c r="S49" s="135" t="str">
        <f>IF(Åtgärdslista32[[#This Row],[Kolumn22]]&lt;&gt;"",Åtgärdslista32[[#This Row],[Kolumn5]],"-")</f>
        <v>-</v>
      </c>
      <c r="T49" s="135" t="str">
        <f>IF(Åtgärdslista32[[#This Row],[Kolumn22]]&lt;&gt;"",Åtgärdslista32[[#This Row],[Kolumn11]],"-")</f>
        <v>-</v>
      </c>
      <c r="U49" s="135" t="str">
        <f>IF(Åtgärdslista32[[#This Row],[Kolumn22]]&lt;&gt;"",Åtgärdslista32[[#This Row],[Kolumn5]],"-")</f>
        <v>-</v>
      </c>
      <c r="V49" s="135" t="str">
        <f>IF(Åtgärdslista32[[#This Row],[Kolumn43]]&lt;&gt;"",Åtgärdslista32[[#This Row],[Kolumn11]],"-")</f>
        <v>-</v>
      </c>
      <c r="W49" s="135" t="str">
        <f>IF(Åtgärdslista32[[#This Row],[Kolumn43]]&lt;&gt;"",Åtgärdslista32[[#This Row],[Kolumn5]],"-")</f>
        <v>-</v>
      </c>
    </row>
    <row r="50" spans="1:23" s="13" customFormat="1" ht="15.6" x14ac:dyDescent="0.3">
      <c r="A50"/>
      <c r="B50" s="25">
        <v>34</v>
      </c>
      <c r="C50" s="26" t="str">
        <f>IF(VLOOKUP(Åtgärdslista32[[#This Row],[Kolumn3]],Åtgärdslista3[[Kolumn3]:[Kolumn5]],2,FALSE)="","",VLOOKUP(Åtgärdslista32[[#This Row],[Kolumn3]],Åtgärdslista3[[Kolumn3]:[Kolumn5]],2,FALSE))</f>
        <v>Terassen 17</v>
      </c>
      <c r="D50" s="26" t="str">
        <f>IF(VLOOKUP(Åtgärdslista32[[#This Row],[Kolumn3]],Åtgärdslista3[[Kolumn3]:[Kolumn5]],3,FALSE)="","",VLOOKUP(Åtgärdslista32[[#This Row],[Kolumn3]],Åtgärdslista3[[Kolumn3]:[Kolumn5]],3,FALSE))</f>
        <v>Värme</v>
      </c>
      <c r="E50" s="12" t="str">
        <f>IF(VLOOKUP(Åtgärdslista32[[#This Row],[Kolumn3]],Åtgärdslista3[[Kolumn3]:[Kolumn5]],4,FALSE)="","",VLOOKUP(Åtgärdslista32[[#This Row],[Kolumn3]],Åtgärdslista3[[Kolumn3]:[Kolumn5]],4,FALSE))</f>
        <v>Frånluftsvärmepump</v>
      </c>
      <c r="F50" s="215" t="s">
        <v>26</v>
      </c>
      <c r="G50" s="177">
        <f>IF(Åtgärdslista32[[#This Row],[Kolumn42]]="ja",VLOOKUP(Åtgärdslista32[[#This Row],[Kolumn3]],Åtgärdslista3[[Kolumn3]:[Kolumn5]],19,FALSE),"-")</f>
        <v>17.317999999999998</v>
      </c>
      <c r="H50" s="178">
        <f>IF(Åtgärdslista32[[#This Row],[Kolumn42]]="ja",VLOOKUP(Åtgärdslista32[[#This Row],[Kolumn3]],Åtgärdslista3[[Kolumn3]:[Kolumn5]],20,FALSE),"-")</f>
        <v>350</v>
      </c>
      <c r="I50" s="178">
        <f>IFERROR(Åtgärdslista32[[#This Row],[Kolumn5]]/Åtgärdslista32[[#This Row],[Kolumn11]],"-")</f>
        <v>20.210185933710594</v>
      </c>
      <c r="J50" s="197">
        <f>IF(Åtgärdslista32[[#This Row],[Kolumn33]]="","",IFERROR(VLOOKUP(Åtgärdslista32[[#This Row],[Kolumn33]],'Nuvärdesberäkning år'!$C$3:$D$23,2,FALSE),"Kategori saknas"))</f>
        <v>20</v>
      </c>
      <c r="K50" s="45">
        <f t="shared" si="2"/>
        <v>-92.351890366631721</v>
      </c>
      <c r="L50" s="146"/>
      <c r="M50" s="77"/>
      <c r="N50" s="77"/>
      <c r="O50" s="148"/>
      <c r="P50" s="143" t="str">
        <f>IF(Åtgärdslista32[[#This Row],[Kolumn1]]&lt;&gt;"",Åtgärdslista32[[#This Row],[Kolumn11]],"-")</f>
        <v>-</v>
      </c>
      <c r="Q50" s="135" t="str">
        <f>IF(Åtgärdslista32[[#This Row],[Kolumn1]]&lt;&gt;"",Åtgärdslista32[[#This Row],[Kolumn5]],"-")</f>
        <v>-</v>
      </c>
      <c r="R50" s="135" t="str">
        <f>IF(Åtgärdslista32[[#This Row],[Kolumn6]]&lt;&gt;"",Åtgärdslista32[[#This Row],[Kolumn11]],"-")</f>
        <v>-</v>
      </c>
      <c r="S50" s="135" t="str">
        <f>IF(Åtgärdslista32[[#This Row],[Kolumn22]]&lt;&gt;"",Åtgärdslista32[[#This Row],[Kolumn5]],"-")</f>
        <v>-</v>
      </c>
      <c r="T50" s="135" t="str">
        <f>IF(Åtgärdslista32[[#This Row],[Kolumn22]]&lt;&gt;"",Åtgärdslista32[[#This Row],[Kolumn11]],"-")</f>
        <v>-</v>
      </c>
      <c r="U50" s="135" t="str">
        <f>IF(Åtgärdslista32[[#This Row],[Kolumn22]]&lt;&gt;"",Åtgärdslista32[[#This Row],[Kolumn5]],"-")</f>
        <v>-</v>
      </c>
      <c r="V50" s="135" t="str">
        <f>IF(Åtgärdslista32[[#This Row],[Kolumn43]]&lt;&gt;"",Åtgärdslista32[[#This Row],[Kolumn11]],"-")</f>
        <v>-</v>
      </c>
      <c r="W50" s="135" t="str">
        <f>IF(Åtgärdslista32[[#This Row],[Kolumn43]]&lt;&gt;"",Åtgärdslista32[[#This Row],[Kolumn5]],"-")</f>
        <v>-</v>
      </c>
    </row>
    <row r="51" spans="1:23" s="13" customFormat="1" ht="15.6" x14ac:dyDescent="0.3">
      <c r="A51"/>
      <c r="B51" s="25">
        <v>35</v>
      </c>
      <c r="C51" s="26" t="str">
        <f>IF(VLOOKUP(Åtgärdslista32[[#This Row],[Kolumn3]],Åtgärdslista3[[Kolumn3]:[Kolumn5]],2,FALSE)="","",VLOOKUP(Åtgärdslista32[[#This Row],[Kolumn3]],Åtgärdslista3[[Kolumn3]:[Kolumn5]],2,FALSE))</f>
        <v>Trädgården 4</v>
      </c>
      <c r="D51" s="26" t="str">
        <f>IF(VLOOKUP(Åtgärdslista32[[#This Row],[Kolumn3]],Åtgärdslista3[[Kolumn3]:[Kolumn5]],3,FALSE)="","",VLOOKUP(Åtgärdslista32[[#This Row],[Kolumn3]],Åtgärdslista3[[Kolumn3]:[Kolumn5]],3,FALSE))</f>
        <v>Vattenspar</v>
      </c>
      <c r="E51" s="12" t="str">
        <f>IF(VLOOKUP(Åtgärdslista32[[#This Row],[Kolumn3]],Åtgärdslista3[[Kolumn3]:[Kolumn5]],4,FALSE)="","",VLOOKUP(Åtgärdslista32[[#This Row],[Kolumn3]],Åtgärdslista3[[Kolumn3]:[Kolumn5]],4,FALSE))</f>
        <v>Vattenspar</v>
      </c>
      <c r="F51" s="215" t="s">
        <v>26</v>
      </c>
      <c r="G51" s="177">
        <f>IF(Åtgärdslista32[[#This Row],[Kolumn42]]="ja",VLOOKUP(Åtgärdslista32[[#This Row],[Kolumn3]],Åtgärdslista3[[Kolumn3]:[Kolumn5]],19,FALSE),"-")</f>
        <v>6.25</v>
      </c>
      <c r="H51" s="178">
        <f>IF(Åtgärdslista32[[#This Row],[Kolumn42]]="ja",VLOOKUP(Åtgärdslista32[[#This Row],[Kolumn3]],Åtgärdslista3[[Kolumn3]:[Kolumn5]],20,FALSE),"-")</f>
        <v>13</v>
      </c>
      <c r="I51" s="178">
        <f>IFERROR(Åtgärdslista32[[#This Row],[Kolumn5]]/Åtgärdslista32[[#This Row],[Kolumn11]],"-")</f>
        <v>2.08</v>
      </c>
      <c r="J51" s="197">
        <f>IF(Åtgärdslista32[[#This Row],[Kolumn33]]="","",IFERROR(VLOOKUP(Åtgärdslista32[[#This Row],[Kolumn33]],'Nuvärdesberäkning år'!$C$3:$D$23,2,FALSE),"Kategori saknas"))</f>
        <v>10</v>
      </c>
      <c r="K51" s="45">
        <f t="shared" si="2"/>
        <v>40.313767729848919</v>
      </c>
      <c r="L51" s="146"/>
      <c r="M51" s="77"/>
      <c r="N51" s="77"/>
      <c r="O51" s="148"/>
      <c r="P51" s="143" t="str">
        <f>IF(Åtgärdslista32[[#This Row],[Kolumn1]]&lt;&gt;"",Åtgärdslista32[[#This Row],[Kolumn11]],"-")</f>
        <v>-</v>
      </c>
      <c r="Q51" s="135" t="str">
        <f>IF(Åtgärdslista32[[#This Row],[Kolumn1]]&lt;&gt;"",Åtgärdslista32[[#This Row],[Kolumn5]],"-")</f>
        <v>-</v>
      </c>
      <c r="R51" s="135" t="str">
        <f>IF(Åtgärdslista32[[#This Row],[Kolumn6]]&lt;&gt;"",Åtgärdslista32[[#This Row],[Kolumn11]],"-")</f>
        <v>-</v>
      </c>
      <c r="S51" s="135" t="str">
        <f>IF(Åtgärdslista32[[#This Row],[Kolumn22]]&lt;&gt;"",Åtgärdslista32[[#This Row],[Kolumn5]],"-")</f>
        <v>-</v>
      </c>
      <c r="T51" s="135" t="str">
        <f>IF(Åtgärdslista32[[#This Row],[Kolumn22]]&lt;&gt;"",Åtgärdslista32[[#This Row],[Kolumn11]],"-")</f>
        <v>-</v>
      </c>
      <c r="U51" s="135" t="str">
        <f>IF(Åtgärdslista32[[#This Row],[Kolumn22]]&lt;&gt;"",Åtgärdslista32[[#This Row],[Kolumn5]],"-")</f>
        <v>-</v>
      </c>
      <c r="V51" s="135" t="str">
        <f>IF(Åtgärdslista32[[#This Row],[Kolumn43]]&lt;&gt;"",Åtgärdslista32[[#This Row],[Kolumn11]],"-")</f>
        <v>-</v>
      </c>
      <c r="W51" s="135" t="str">
        <f>IF(Åtgärdslista32[[#This Row],[Kolumn43]]&lt;&gt;"",Åtgärdslista32[[#This Row],[Kolumn5]],"-")</f>
        <v>-</v>
      </c>
    </row>
    <row r="52" spans="1:23" s="13" customFormat="1" ht="15.6" x14ac:dyDescent="0.3">
      <c r="A52"/>
      <c r="B52" s="25">
        <v>36</v>
      </c>
      <c r="C52" s="26" t="str">
        <f>IF(VLOOKUP(Åtgärdslista32[[#This Row],[Kolumn3]],Åtgärdslista3[[Kolumn3]:[Kolumn5]],2,FALSE)="","",VLOOKUP(Åtgärdslista32[[#This Row],[Kolumn3]],Åtgärdslista3[[Kolumn3]:[Kolumn5]],2,FALSE))</f>
        <v>Trädgården 4</v>
      </c>
      <c r="D52" s="26" t="str">
        <f>IF(VLOOKUP(Åtgärdslista32[[#This Row],[Kolumn3]],Åtgärdslista3[[Kolumn3]:[Kolumn5]],3,FALSE)="","",VLOOKUP(Åtgärdslista32[[#This Row],[Kolumn3]],Åtgärdslista3[[Kolumn3]:[Kolumn5]],3,FALSE))</f>
        <v>Styr &amp; övervakning</v>
      </c>
      <c r="E52" s="12" t="str">
        <f>IF(VLOOKUP(Åtgärdslista32[[#This Row],[Kolumn3]],Åtgärdslista3[[Kolumn3]:[Kolumn5]],4,FALSE)="","",VLOOKUP(Åtgärdslista32[[#This Row],[Kolumn3]],Åtgärdslista3[[Kolumn3]:[Kolumn5]],4,FALSE))</f>
        <v>Styr och regler</v>
      </c>
      <c r="F52" s="215" t="s">
        <v>26</v>
      </c>
      <c r="G52" s="177">
        <f>IF(Åtgärdslista32[[#This Row],[Kolumn42]]="ja",VLOOKUP(Åtgärdslista32[[#This Row],[Kolumn3]],Åtgärdslista3[[Kolumn3]:[Kolumn5]],19,FALSE),"-")</f>
        <v>8.2799999999999994</v>
      </c>
      <c r="H52" s="178">
        <f>IF(Åtgärdslista32[[#This Row],[Kolumn42]]="ja",VLOOKUP(Åtgärdslista32[[#This Row],[Kolumn3]],Åtgärdslista3[[Kolumn3]:[Kolumn5]],20,FALSE),"-")</f>
        <v>50</v>
      </c>
      <c r="I52" s="178">
        <f>IFERROR(Åtgärdslista32[[#This Row],[Kolumn5]]/Åtgärdslista32[[#This Row],[Kolumn11]],"-")</f>
        <v>6.0386473429951693</v>
      </c>
      <c r="J52" s="197">
        <f>IF(Åtgärdslista32[[#This Row],[Kolumn33]]="","",IFERROR(VLOOKUP(Åtgärdslista32[[#This Row],[Kolumn33]],'Nuvärdesberäkning år'!$C$3:$D$23,2,FALSE),"Kategori saknas"))</f>
        <v>15</v>
      </c>
      <c r="K52" s="45">
        <f t="shared" si="2"/>
        <v>48.846102518505887</v>
      </c>
      <c r="L52" s="146"/>
      <c r="M52" s="77"/>
      <c r="N52" s="77"/>
      <c r="O52" s="148"/>
      <c r="P52" s="143" t="str">
        <f>IF(Åtgärdslista32[[#This Row],[Kolumn1]]&lt;&gt;"",Åtgärdslista32[[#This Row],[Kolumn11]],"-")</f>
        <v>-</v>
      </c>
      <c r="Q52" s="135" t="str">
        <f>IF(Åtgärdslista32[[#This Row],[Kolumn1]]&lt;&gt;"",Åtgärdslista32[[#This Row],[Kolumn5]],"-")</f>
        <v>-</v>
      </c>
      <c r="R52" s="135" t="str">
        <f>IF(Åtgärdslista32[[#This Row],[Kolumn6]]&lt;&gt;"",Åtgärdslista32[[#This Row],[Kolumn11]],"-")</f>
        <v>-</v>
      </c>
      <c r="S52" s="135" t="str">
        <f>IF(Åtgärdslista32[[#This Row],[Kolumn22]]&lt;&gt;"",Åtgärdslista32[[#This Row],[Kolumn5]],"-")</f>
        <v>-</v>
      </c>
      <c r="T52" s="135" t="str">
        <f>IF(Åtgärdslista32[[#This Row],[Kolumn22]]&lt;&gt;"",Åtgärdslista32[[#This Row],[Kolumn11]],"-")</f>
        <v>-</v>
      </c>
      <c r="U52" s="135" t="str">
        <f>IF(Åtgärdslista32[[#This Row],[Kolumn22]]&lt;&gt;"",Åtgärdslista32[[#This Row],[Kolumn5]],"-")</f>
        <v>-</v>
      </c>
      <c r="V52" s="135" t="str">
        <f>IF(Åtgärdslista32[[#This Row],[Kolumn43]]&lt;&gt;"",Åtgärdslista32[[#This Row],[Kolumn11]],"-")</f>
        <v>-</v>
      </c>
      <c r="W52" s="135" t="str">
        <f>IF(Åtgärdslista32[[#This Row],[Kolumn43]]&lt;&gt;"",Åtgärdslista32[[#This Row],[Kolumn5]],"-")</f>
        <v>-</v>
      </c>
    </row>
    <row r="53" spans="1:23" s="13" customFormat="1" ht="15.6" x14ac:dyDescent="0.3">
      <c r="A53"/>
      <c r="B53" s="25">
        <v>37</v>
      </c>
      <c r="C53" s="26" t="str">
        <f>IF(VLOOKUP(Åtgärdslista32[[#This Row],[Kolumn3]],Åtgärdslista3[[Kolumn3]:[Kolumn5]],2,FALSE)="","",VLOOKUP(Åtgärdslista32[[#This Row],[Kolumn3]],Åtgärdslista3[[Kolumn3]:[Kolumn5]],2,FALSE))</f>
        <v>Trädgården 4</v>
      </c>
      <c r="D53" s="26" t="str">
        <f>IF(VLOOKUP(Åtgärdslista32[[#This Row],[Kolumn3]],Åtgärdslista3[[Kolumn3]:[Kolumn5]],3,FALSE)="","",VLOOKUP(Åtgärdslista32[[#This Row],[Kolumn3]],Åtgärdslista3[[Kolumn3]:[Kolumn5]],3,FALSE))</f>
        <v>Värme</v>
      </c>
      <c r="E53" s="12" t="str">
        <f>IF(VLOOKUP(Åtgärdslista32[[#This Row],[Kolumn3]],Åtgärdslista3[[Kolumn3]:[Kolumn5]],4,FALSE)="","",VLOOKUP(Åtgärdslista32[[#This Row],[Kolumn3]],Åtgärdslista3[[Kolumn3]:[Kolumn5]],4,FALSE))</f>
        <v>Byt kulvert</v>
      </c>
      <c r="F53" s="215" t="s">
        <v>26</v>
      </c>
      <c r="G53" s="177">
        <f>IF(Åtgärdslista32[[#This Row],[Kolumn42]]="ja",VLOOKUP(Åtgärdslista32[[#This Row],[Kolumn3]],Åtgärdslista3[[Kolumn3]:[Kolumn5]],19,FALSE),"-")</f>
        <v>6.8999999999999995</v>
      </c>
      <c r="H53" s="178">
        <f>IF(Åtgärdslista32[[#This Row],[Kolumn42]]="ja",VLOOKUP(Åtgärdslista32[[#This Row],[Kolumn3]],Åtgärdslista3[[Kolumn3]:[Kolumn5]],20,FALSE),"-")</f>
        <v>100</v>
      </c>
      <c r="I53" s="178">
        <f>IFERROR(Åtgärdslista32[[#This Row],[Kolumn5]]/Åtgärdslista32[[#This Row],[Kolumn11]],"-")</f>
        <v>14.492753623188406</v>
      </c>
      <c r="J53" s="197">
        <f>IF(Åtgärdslista32[[#This Row],[Kolumn33]]="","",IFERROR(VLOOKUP(Åtgärdslista32[[#This Row],[Kolumn33]],'Nuvärdesberäkning år'!$C$3:$D$23,2,FALSE),"Kategori saknas"))</f>
        <v>20</v>
      </c>
      <c r="K53" s="45">
        <f t="shared" si="2"/>
        <v>2.6545765371429297</v>
      </c>
      <c r="L53" s="146"/>
      <c r="M53" s="77"/>
      <c r="N53" s="77"/>
      <c r="O53" s="148"/>
      <c r="P53" s="143" t="str">
        <f>IF(Åtgärdslista32[[#This Row],[Kolumn1]]&lt;&gt;"",Åtgärdslista32[[#This Row],[Kolumn11]],"-")</f>
        <v>-</v>
      </c>
      <c r="Q53" s="135" t="str">
        <f>IF(Åtgärdslista32[[#This Row],[Kolumn1]]&lt;&gt;"",Åtgärdslista32[[#This Row],[Kolumn5]],"-")</f>
        <v>-</v>
      </c>
      <c r="R53" s="135" t="str">
        <f>IF(Åtgärdslista32[[#This Row],[Kolumn6]]&lt;&gt;"",Åtgärdslista32[[#This Row],[Kolumn11]],"-")</f>
        <v>-</v>
      </c>
      <c r="S53" s="135" t="str">
        <f>IF(Åtgärdslista32[[#This Row],[Kolumn22]]&lt;&gt;"",Åtgärdslista32[[#This Row],[Kolumn5]],"-")</f>
        <v>-</v>
      </c>
      <c r="T53" s="135" t="str">
        <f>IF(Åtgärdslista32[[#This Row],[Kolumn22]]&lt;&gt;"",Åtgärdslista32[[#This Row],[Kolumn11]],"-")</f>
        <v>-</v>
      </c>
      <c r="U53" s="135" t="str">
        <f>IF(Åtgärdslista32[[#This Row],[Kolumn22]]&lt;&gt;"",Åtgärdslista32[[#This Row],[Kolumn5]],"-")</f>
        <v>-</v>
      </c>
      <c r="V53" s="135" t="str">
        <f>IF(Åtgärdslista32[[#This Row],[Kolumn43]]&lt;&gt;"",Åtgärdslista32[[#This Row],[Kolumn11]],"-")</f>
        <v>-</v>
      </c>
      <c r="W53" s="135" t="str">
        <f>IF(Åtgärdslista32[[#This Row],[Kolumn43]]&lt;&gt;"",Åtgärdslista32[[#This Row],[Kolumn5]],"-")</f>
        <v>-</v>
      </c>
    </row>
    <row r="54" spans="1:23" s="13" customFormat="1" ht="15.6" x14ac:dyDescent="0.3">
      <c r="A54"/>
      <c r="B54" s="25">
        <v>38</v>
      </c>
      <c r="C54" s="26" t="str">
        <f>IF(VLOOKUP(Åtgärdslista32[[#This Row],[Kolumn3]],Åtgärdslista3[[Kolumn3]:[Kolumn5]],2,FALSE)="","",VLOOKUP(Åtgärdslista32[[#This Row],[Kolumn3]],Åtgärdslista3[[Kolumn3]:[Kolumn5]],2,FALSE))</f>
        <v>Trädgården 4</v>
      </c>
      <c r="D54" s="26" t="str">
        <f>IF(VLOOKUP(Åtgärdslista32[[#This Row],[Kolumn3]],Åtgärdslista3[[Kolumn3]:[Kolumn5]],3,FALSE)="","",VLOOKUP(Åtgärdslista32[[#This Row],[Kolumn3]],Åtgärdslista3[[Kolumn3]:[Kolumn5]],3,FALSE))</f>
        <v>Värme</v>
      </c>
      <c r="E54" s="12" t="str">
        <f>IF(VLOOKUP(Åtgärdslista32[[#This Row],[Kolumn3]],Åtgärdslista3[[Kolumn3]:[Kolumn5]],4,FALSE)="","",VLOOKUP(Åtgärdslista32[[#This Row],[Kolumn3]],Åtgärdslista3[[Kolumn3]:[Kolumn5]],4,FALSE))</f>
        <v>Nya shuntar</v>
      </c>
      <c r="F54" s="215" t="s">
        <v>26</v>
      </c>
      <c r="G54" s="177">
        <f>IF(Åtgärdslista32[[#This Row],[Kolumn42]]="ja",VLOOKUP(Åtgärdslista32[[#This Row],[Kolumn3]],Åtgärdslista3[[Kolumn3]:[Kolumn5]],19,FALSE),"-")</f>
        <v>1.1000000000000001</v>
      </c>
      <c r="H54" s="178">
        <f>IF(Åtgärdslista32[[#This Row],[Kolumn42]]="ja",VLOOKUP(Åtgärdslista32[[#This Row],[Kolumn3]],Åtgärdslista3[[Kolumn3]:[Kolumn5]],20,FALSE),"-")</f>
        <v>100</v>
      </c>
      <c r="I54" s="178">
        <f>IFERROR(Åtgärdslista32[[#This Row],[Kolumn5]]/Åtgärdslista32[[#This Row],[Kolumn11]],"-")</f>
        <v>90.909090909090907</v>
      </c>
      <c r="J54" s="197">
        <f>IF(Åtgärdslista32[[#This Row],[Kolumn33]]="","",IFERROR(VLOOKUP(Åtgärdslista32[[#This Row],[Kolumn33]],'Nuvärdesberäkning år'!$C$3:$D$23,2,FALSE),"Kategori saknas"))</f>
        <v>20</v>
      </c>
      <c r="K54" s="45">
        <f t="shared" si="2"/>
        <v>-83.634777653498958</v>
      </c>
      <c r="L54" s="146"/>
      <c r="M54" s="77"/>
      <c r="N54" s="77"/>
      <c r="O54" s="148"/>
      <c r="P54" s="143" t="str">
        <f>IF(Åtgärdslista32[[#This Row],[Kolumn1]]&lt;&gt;"",Åtgärdslista32[[#This Row],[Kolumn11]],"-")</f>
        <v>-</v>
      </c>
      <c r="Q54" s="135" t="str">
        <f>IF(Åtgärdslista32[[#This Row],[Kolumn1]]&lt;&gt;"",Åtgärdslista32[[#This Row],[Kolumn5]],"-")</f>
        <v>-</v>
      </c>
      <c r="R54" s="135" t="str">
        <f>IF(Åtgärdslista32[[#This Row],[Kolumn6]]&lt;&gt;"",Åtgärdslista32[[#This Row],[Kolumn11]],"-")</f>
        <v>-</v>
      </c>
      <c r="S54" s="135" t="str">
        <f>IF(Åtgärdslista32[[#This Row],[Kolumn22]]&lt;&gt;"",Åtgärdslista32[[#This Row],[Kolumn5]],"-")</f>
        <v>-</v>
      </c>
      <c r="T54" s="135" t="str">
        <f>IF(Åtgärdslista32[[#This Row],[Kolumn22]]&lt;&gt;"",Åtgärdslista32[[#This Row],[Kolumn11]],"-")</f>
        <v>-</v>
      </c>
      <c r="U54" s="135" t="str">
        <f>IF(Åtgärdslista32[[#This Row],[Kolumn22]]&lt;&gt;"",Åtgärdslista32[[#This Row],[Kolumn5]],"-")</f>
        <v>-</v>
      </c>
      <c r="V54" s="135" t="str">
        <f>IF(Åtgärdslista32[[#This Row],[Kolumn43]]&lt;&gt;"",Åtgärdslista32[[#This Row],[Kolumn11]],"-")</f>
        <v>-</v>
      </c>
      <c r="W54" s="135" t="str">
        <f>IF(Åtgärdslista32[[#This Row],[Kolumn43]]&lt;&gt;"",Åtgärdslista32[[#This Row],[Kolumn5]],"-")</f>
        <v>-</v>
      </c>
    </row>
    <row r="55" spans="1:23" s="13" customFormat="1" ht="15.6" x14ac:dyDescent="0.3">
      <c r="A55"/>
      <c r="B55" s="25">
        <v>39</v>
      </c>
      <c r="C55" s="26" t="str">
        <f>IF(VLOOKUP(Åtgärdslista32[[#This Row],[Kolumn3]],Åtgärdslista3[[Kolumn3]:[Kolumn5]],2,FALSE)="","",VLOOKUP(Åtgärdslista32[[#This Row],[Kolumn3]],Åtgärdslista3[[Kolumn3]:[Kolumn5]],2,FALSE))</f>
        <v>Trädgården 4</v>
      </c>
      <c r="D55" s="26" t="str">
        <f>IF(VLOOKUP(Åtgärdslista32[[#This Row],[Kolumn3]],Åtgärdslista3[[Kolumn3]:[Kolumn5]],3,FALSE)="","",VLOOKUP(Åtgärdslista32[[#This Row],[Kolumn3]],Åtgärdslista3[[Kolumn3]:[Kolumn5]],3,FALSE))</f>
        <v>Värme</v>
      </c>
      <c r="E55" s="12" t="str">
        <f>IF(VLOOKUP(Åtgärdslista32[[#This Row],[Kolumn3]],Åtgärdslista3[[Kolumn3]:[Kolumn5]],4,FALSE)="","",VLOOKUP(Åtgärdslista32[[#This Row],[Kolumn3]],Åtgärdslista3[[Kolumn3]:[Kolumn5]],4,FALSE))</f>
        <v>Tilläggsisolering vind</v>
      </c>
      <c r="F55" s="215" t="s">
        <v>26</v>
      </c>
      <c r="G55" s="177">
        <f>IF(Åtgärdslista32[[#This Row],[Kolumn42]]="ja",VLOOKUP(Åtgärdslista32[[#This Row],[Kolumn3]],Åtgärdslista3[[Kolumn3]:[Kolumn5]],19,FALSE),"-")</f>
        <v>4.4159999999999995</v>
      </c>
      <c r="H55" s="178">
        <f>IF(Åtgärdslista32[[#This Row],[Kolumn42]]="ja",VLOOKUP(Åtgärdslista32[[#This Row],[Kolumn3]],Åtgärdslista3[[Kolumn3]:[Kolumn5]],20,FALSE),"-")</f>
        <v>40</v>
      </c>
      <c r="I55" s="178">
        <f>IFERROR(Åtgärdslista32[[#This Row],[Kolumn5]]/Åtgärdslista32[[#This Row],[Kolumn11]],"-")</f>
        <v>9.0579710144927539</v>
      </c>
      <c r="J55" s="197">
        <f>IF(Åtgärdslista32[[#This Row],[Kolumn33]]="","",IFERROR(VLOOKUP(Åtgärdslista32[[#This Row],[Kolumn33]],'Nuvärdesberäkning år'!$C$3:$D$23,2,FALSE),"Kategori saknas"))</f>
        <v>20</v>
      </c>
      <c r="K55" s="45">
        <f t="shared" si="2"/>
        <v>25.698928983771481</v>
      </c>
      <c r="L55" s="146"/>
      <c r="M55" s="77"/>
      <c r="N55" s="77"/>
      <c r="O55" s="148"/>
      <c r="P55" s="143" t="str">
        <f>IF(Åtgärdslista32[[#This Row],[Kolumn1]]&lt;&gt;"",Åtgärdslista32[[#This Row],[Kolumn11]],"-")</f>
        <v>-</v>
      </c>
      <c r="Q55" s="135" t="str">
        <f>IF(Åtgärdslista32[[#This Row],[Kolumn1]]&lt;&gt;"",Åtgärdslista32[[#This Row],[Kolumn5]],"-")</f>
        <v>-</v>
      </c>
      <c r="R55" s="135" t="str">
        <f>IF(Åtgärdslista32[[#This Row],[Kolumn6]]&lt;&gt;"",Åtgärdslista32[[#This Row],[Kolumn11]],"-")</f>
        <v>-</v>
      </c>
      <c r="S55" s="135" t="str">
        <f>IF(Åtgärdslista32[[#This Row],[Kolumn22]]&lt;&gt;"",Åtgärdslista32[[#This Row],[Kolumn5]],"-")</f>
        <v>-</v>
      </c>
      <c r="T55" s="135" t="str">
        <f>IF(Åtgärdslista32[[#This Row],[Kolumn22]]&lt;&gt;"",Åtgärdslista32[[#This Row],[Kolumn11]],"-")</f>
        <v>-</v>
      </c>
      <c r="U55" s="135" t="str">
        <f>IF(Åtgärdslista32[[#This Row],[Kolumn22]]&lt;&gt;"",Åtgärdslista32[[#This Row],[Kolumn5]],"-")</f>
        <v>-</v>
      </c>
      <c r="V55" s="135" t="str">
        <f>IF(Åtgärdslista32[[#This Row],[Kolumn43]]&lt;&gt;"",Åtgärdslista32[[#This Row],[Kolumn11]],"-")</f>
        <v>-</v>
      </c>
      <c r="W55" s="135" t="str">
        <f>IF(Åtgärdslista32[[#This Row],[Kolumn43]]&lt;&gt;"",Åtgärdslista32[[#This Row],[Kolumn5]],"-")</f>
        <v>-</v>
      </c>
    </row>
    <row r="56" spans="1:23" s="13" customFormat="1" ht="15.6" x14ac:dyDescent="0.3">
      <c r="A56"/>
      <c r="B56" s="25">
        <v>40</v>
      </c>
      <c r="C56" s="26" t="str">
        <f>IF(VLOOKUP(Åtgärdslista32[[#This Row],[Kolumn3]],Åtgärdslista3[[Kolumn3]:[Kolumn5]],2,FALSE)="","",VLOOKUP(Åtgärdslista32[[#This Row],[Kolumn3]],Åtgärdslista3[[Kolumn3]:[Kolumn5]],2,FALSE))</f>
        <v>Älgen 9</v>
      </c>
      <c r="D56" s="26" t="str">
        <f>IF(VLOOKUP(Åtgärdslista32[[#This Row],[Kolumn3]],Åtgärdslista3[[Kolumn3]:[Kolumn5]],3,FALSE)="","",VLOOKUP(Åtgärdslista32[[#This Row],[Kolumn3]],Åtgärdslista3[[Kolumn3]:[Kolumn5]],3,FALSE))</f>
        <v>Vattenspar</v>
      </c>
      <c r="E56" s="12" t="str">
        <f>IF(VLOOKUP(Åtgärdslista32[[#This Row],[Kolumn3]],Åtgärdslista3[[Kolumn3]:[Kolumn5]],4,FALSE)="","",VLOOKUP(Åtgärdslista32[[#This Row],[Kolumn3]],Åtgärdslista3[[Kolumn3]:[Kolumn5]],4,FALSE))</f>
        <v>Vattenspar</v>
      </c>
      <c r="F56" s="215" t="s">
        <v>26</v>
      </c>
      <c r="G56" s="177">
        <f>IF(Åtgärdslista32[[#This Row],[Kolumn42]]="ja",VLOOKUP(Åtgärdslista32[[#This Row],[Kolumn3]],Åtgärdslista3[[Kolumn3]:[Kolumn5]],19,FALSE),"-")</f>
        <v>4.7119999999999997</v>
      </c>
      <c r="H56" s="178">
        <f>IF(Åtgärdslista32[[#This Row],[Kolumn42]]="ja",VLOOKUP(Åtgärdslista32[[#This Row],[Kolumn3]],Åtgärdslista3[[Kolumn3]:[Kolumn5]],20,FALSE),"-")</f>
        <v>6.4</v>
      </c>
      <c r="I56" s="178">
        <f>IFERROR(Åtgärdslista32[[#This Row],[Kolumn5]]/Åtgärdslista32[[#This Row],[Kolumn11]],"-")</f>
        <v>1.3582342954159594</v>
      </c>
      <c r="J56" s="197">
        <f>IF(Åtgärdslista32[[#This Row],[Kolumn33]]="","",IFERROR(VLOOKUP(Åtgärdslista32[[#This Row],[Kolumn33]],'Nuvärdesberäkning år'!$C$3:$D$23,2,FALSE),"Kategori saknas"))</f>
        <v>10</v>
      </c>
      <c r="K56" s="45">
        <f t="shared" si="2"/>
        <v>33.794315766887692</v>
      </c>
      <c r="L56" s="146"/>
      <c r="M56" s="77"/>
      <c r="N56" s="77"/>
      <c r="O56" s="148"/>
      <c r="P56" s="143" t="str">
        <f>IF(Åtgärdslista32[[#This Row],[Kolumn1]]&lt;&gt;"",Åtgärdslista32[[#This Row],[Kolumn11]],"-")</f>
        <v>-</v>
      </c>
      <c r="Q56" s="135" t="str">
        <f>IF(Åtgärdslista32[[#This Row],[Kolumn1]]&lt;&gt;"",Åtgärdslista32[[#This Row],[Kolumn5]],"-")</f>
        <v>-</v>
      </c>
      <c r="R56" s="135" t="str">
        <f>IF(Åtgärdslista32[[#This Row],[Kolumn6]]&lt;&gt;"",Åtgärdslista32[[#This Row],[Kolumn11]],"-")</f>
        <v>-</v>
      </c>
      <c r="S56" s="135" t="str">
        <f>IF(Åtgärdslista32[[#This Row],[Kolumn22]]&lt;&gt;"",Åtgärdslista32[[#This Row],[Kolumn5]],"-")</f>
        <v>-</v>
      </c>
      <c r="T56" s="135" t="str">
        <f>IF(Åtgärdslista32[[#This Row],[Kolumn22]]&lt;&gt;"",Åtgärdslista32[[#This Row],[Kolumn11]],"-")</f>
        <v>-</v>
      </c>
      <c r="U56" s="135" t="str">
        <f>IF(Åtgärdslista32[[#This Row],[Kolumn22]]&lt;&gt;"",Åtgärdslista32[[#This Row],[Kolumn5]],"-")</f>
        <v>-</v>
      </c>
      <c r="V56" s="135" t="str">
        <f>IF(Åtgärdslista32[[#This Row],[Kolumn43]]&lt;&gt;"",Åtgärdslista32[[#This Row],[Kolumn11]],"-")</f>
        <v>-</v>
      </c>
      <c r="W56" s="135" t="str">
        <f>IF(Åtgärdslista32[[#This Row],[Kolumn43]]&lt;&gt;"",Åtgärdslista32[[#This Row],[Kolumn5]],"-")</f>
        <v>-</v>
      </c>
    </row>
    <row r="57" spans="1:23" s="13" customFormat="1" ht="15.6" x14ac:dyDescent="0.3">
      <c r="A57"/>
      <c r="B57" s="25">
        <v>41</v>
      </c>
      <c r="C57" s="26" t="str">
        <f>IF(VLOOKUP(Åtgärdslista32[[#This Row],[Kolumn3]],Åtgärdslista3[[Kolumn3]:[Kolumn5]],2,FALSE)="","",VLOOKUP(Åtgärdslista32[[#This Row],[Kolumn3]],Åtgärdslista3[[Kolumn3]:[Kolumn5]],2,FALSE))</f>
        <v>Älgen 9</v>
      </c>
      <c r="D57" s="26" t="str">
        <f>IF(VLOOKUP(Åtgärdslista32[[#This Row],[Kolumn3]],Åtgärdslista3[[Kolumn3]:[Kolumn5]],3,FALSE)="","",VLOOKUP(Åtgärdslista32[[#This Row],[Kolumn3]],Åtgärdslista3[[Kolumn3]:[Kolumn5]],3,FALSE))</f>
        <v>Styr &amp; övervakning</v>
      </c>
      <c r="E57" s="12" t="str">
        <f>IF(VLOOKUP(Åtgärdslista32[[#This Row],[Kolumn3]],Åtgärdslista3[[Kolumn3]:[Kolumn5]],4,FALSE)="","",VLOOKUP(Åtgärdslista32[[#This Row],[Kolumn3]],Åtgärdslista3[[Kolumn3]:[Kolumn5]],4,FALSE))</f>
        <v>Styr och regler</v>
      </c>
      <c r="F57" s="215" t="s">
        <v>26</v>
      </c>
      <c r="G57" s="177">
        <f>IF(Åtgärdslista32[[#This Row],[Kolumn42]]="ja",VLOOKUP(Åtgärdslista32[[#This Row],[Kolumn3]],Åtgärdslista3[[Kolumn3]:[Kolumn5]],19,FALSE),"-")</f>
        <v>2.6909999999999998</v>
      </c>
      <c r="H57" s="178">
        <f>IF(Åtgärdslista32[[#This Row],[Kolumn42]]="ja",VLOOKUP(Åtgärdslista32[[#This Row],[Kolumn3]],Åtgärdslista3[[Kolumn3]:[Kolumn5]],20,FALSE),"-")</f>
        <v>50</v>
      </c>
      <c r="I57" s="178">
        <f>IFERROR(Åtgärdslista32[[#This Row],[Kolumn5]]/Åtgärdslista32[[#This Row],[Kolumn11]],"-")</f>
        <v>18.580453363062059</v>
      </c>
      <c r="J57" s="197">
        <f>IF(Åtgärdslista32[[#This Row],[Kolumn33]]="","",IFERROR(VLOOKUP(Åtgärdslista32[[#This Row],[Kolumn33]],'Nuvärdesberäkning år'!$C$3:$D$23,2,FALSE),"Kategori saknas"))</f>
        <v>15</v>
      </c>
      <c r="K57" s="45">
        <f t="shared" si="2"/>
        <v>-17.875016681485583</v>
      </c>
      <c r="L57" s="146"/>
      <c r="M57" s="77"/>
      <c r="N57" s="77"/>
      <c r="O57" s="148"/>
      <c r="P57" s="143" t="str">
        <f>IF(Åtgärdslista32[[#This Row],[Kolumn1]]&lt;&gt;"",Åtgärdslista32[[#This Row],[Kolumn11]],"-")</f>
        <v>-</v>
      </c>
      <c r="Q57" s="135" t="str">
        <f>IF(Åtgärdslista32[[#This Row],[Kolumn1]]&lt;&gt;"",Åtgärdslista32[[#This Row],[Kolumn5]],"-")</f>
        <v>-</v>
      </c>
      <c r="R57" s="135" t="str">
        <f>IF(Åtgärdslista32[[#This Row],[Kolumn6]]&lt;&gt;"",Åtgärdslista32[[#This Row],[Kolumn11]],"-")</f>
        <v>-</v>
      </c>
      <c r="S57" s="135" t="str">
        <f>IF(Åtgärdslista32[[#This Row],[Kolumn22]]&lt;&gt;"",Åtgärdslista32[[#This Row],[Kolumn5]],"-")</f>
        <v>-</v>
      </c>
      <c r="T57" s="135" t="str">
        <f>IF(Åtgärdslista32[[#This Row],[Kolumn22]]&lt;&gt;"",Åtgärdslista32[[#This Row],[Kolumn11]],"-")</f>
        <v>-</v>
      </c>
      <c r="U57" s="135" t="str">
        <f>IF(Åtgärdslista32[[#This Row],[Kolumn22]]&lt;&gt;"",Åtgärdslista32[[#This Row],[Kolumn5]],"-")</f>
        <v>-</v>
      </c>
      <c r="V57" s="135" t="str">
        <f>IF(Åtgärdslista32[[#This Row],[Kolumn43]]&lt;&gt;"",Åtgärdslista32[[#This Row],[Kolumn11]],"-")</f>
        <v>-</v>
      </c>
      <c r="W57" s="135" t="str">
        <f>IF(Åtgärdslista32[[#This Row],[Kolumn43]]&lt;&gt;"",Åtgärdslista32[[#This Row],[Kolumn5]],"-")</f>
        <v>-</v>
      </c>
    </row>
    <row r="58" spans="1:23" s="13" customFormat="1" ht="15.6" x14ac:dyDescent="0.3">
      <c r="A58"/>
      <c r="B58" s="25">
        <v>42</v>
      </c>
      <c r="C58" s="26" t="str">
        <f>IF(VLOOKUP(Åtgärdslista32[[#This Row],[Kolumn3]],Åtgärdslista3[[Kolumn3]:[Kolumn5]],2,FALSE)="","",VLOOKUP(Åtgärdslista32[[#This Row],[Kolumn3]],Åtgärdslista3[[Kolumn3]:[Kolumn5]],2,FALSE))</f>
        <v>Älgen 9</v>
      </c>
      <c r="D58" s="26" t="str">
        <f>IF(VLOOKUP(Åtgärdslista32[[#This Row],[Kolumn3]],Åtgärdslista3[[Kolumn3]:[Kolumn5]],3,FALSE)="","",VLOOKUP(Åtgärdslista32[[#This Row],[Kolumn3]],Åtgärdslista3[[Kolumn3]:[Kolumn5]],3,FALSE))</f>
        <v>Värme</v>
      </c>
      <c r="E58" s="12" t="str">
        <f>IF(VLOOKUP(Åtgärdslista32[[#This Row],[Kolumn3]],Åtgärdslista3[[Kolumn3]:[Kolumn5]],4,FALSE)="","",VLOOKUP(Åtgärdslista32[[#This Row],[Kolumn3]],Åtgärdslista3[[Kolumn3]:[Kolumn5]],4,FALSE))</f>
        <v>Frånluftsvärmepump</v>
      </c>
      <c r="F58" s="215" t="s">
        <v>26</v>
      </c>
      <c r="G58" s="177">
        <f>IF(Åtgärdslista32[[#This Row],[Kolumn42]]="ja",VLOOKUP(Åtgärdslista32[[#This Row],[Kolumn3]],Åtgärdslista3[[Kolumn3]:[Kolumn5]],19,FALSE),"-")</f>
        <v>9.7969999999999988</v>
      </c>
      <c r="H58" s="178">
        <f>IF(Åtgärdslista32[[#This Row],[Kolumn42]]="ja",VLOOKUP(Åtgärdslista32[[#This Row],[Kolumn3]],Åtgärdslista3[[Kolumn3]:[Kolumn5]],20,FALSE),"-")</f>
        <v>150</v>
      </c>
      <c r="I58" s="178">
        <f>IFERROR(Åtgärdslista32[[#This Row],[Kolumn5]]/Åtgärdslista32[[#This Row],[Kolumn11]],"-")</f>
        <v>15.310809431458612</v>
      </c>
      <c r="J58" s="197">
        <f>IF(Åtgärdslista32[[#This Row],[Kolumn33]]="","",IFERROR(VLOOKUP(Åtgärdslista32[[#This Row],[Kolumn33]],'Nuvärdesberäkning år'!$C$3:$D$23,2,FALSE),"Kategori saknas"))</f>
        <v>20</v>
      </c>
      <c r="K58" s="45">
        <f t="shared" si="2"/>
        <v>-4.2453787921174921</v>
      </c>
      <c r="L58" s="146"/>
      <c r="M58" s="77"/>
      <c r="N58" s="77"/>
      <c r="O58" s="148"/>
      <c r="P58" s="143" t="str">
        <f>IF(Åtgärdslista32[[#This Row],[Kolumn1]]&lt;&gt;"",Åtgärdslista32[[#This Row],[Kolumn11]],"-")</f>
        <v>-</v>
      </c>
      <c r="Q58" s="135" t="str">
        <f>IF(Åtgärdslista32[[#This Row],[Kolumn1]]&lt;&gt;"",Åtgärdslista32[[#This Row],[Kolumn5]],"-")</f>
        <v>-</v>
      </c>
      <c r="R58" s="135" t="str">
        <f>IF(Åtgärdslista32[[#This Row],[Kolumn6]]&lt;&gt;"",Åtgärdslista32[[#This Row],[Kolumn11]],"-")</f>
        <v>-</v>
      </c>
      <c r="S58" s="135" t="str">
        <f>IF(Åtgärdslista32[[#This Row],[Kolumn22]]&lt;&gt;"",Åtgärdslista32[[#This Row],[Kolumn5]],"-")</f>
        <v>-</v>
      </c>
      <c r="T58" s="135" t="str">
        <f>IF(Åtgärdslista32[[#This Row],[Kolumn22]]&lt;&gt;"",Åtgärdslista32[[#This Row],[Kolumn11]],"-")</f>
        <v>-</v>
      </c>
      <c r="U58" s="135" t="str">
        <f>IF(Åtgärdslista32[[#This Row],[Kolumn22]]&lt;&gt;"",Åtgärdslista32[[#This Row],[Kolumn5]],"-")</f>
        <v>-</v>
      </c>
      <c r="V58" s="135" t="str">
        <f>IF(Åtgärdslista32[[#This Row],[Kolumn43]]&lt;&gt;"",Åtgärdslista32[[#This Row],[Kolumn11]],"-")</f>
        <v>-</v>
      </c>
      <c r="W58" s="135" t="str">
        <f>IF(Åtgärdslista32[[#This Row],[Kolumn43]]&lt;&gt;"",Åtgärdslista32[[#This Row],[Kolumn5]],"-")</f>
        <v>-</v>
      </c>
    </row>
    <row r="59" spans="1:23" s="13" customFormat="1" ht="15.6" x14ac:dyDescent="0.3">
      <c r="A59"/>
      <c r="B59" s="25">
        <v>43</v>
      </c>
      <c r="C59" s="26" t="str">
        <f>IF(VLOOKUP(Åtgärdslista32[[#This Row],[Kolumn3]],Åtgärdslista3[[Kolumn3]:[Kolumn5]],2,FALSE)="","",VLOOKUP(Åtgärdslista32[[#This Row],[Kolumn3]],Åtgärdslista3[[Kolumn3]:[Kolumn5]],2,FALSE))</f>
        <v>Linden 16</v>
      </c>
      <c r="D59" s="26" t="str">
        <f>IF(VLOOKUP(Åtgärdslista32[[#This Row],[Kolumn3]],Åtgärdslista3[[Kolumn3]:[Kolumn5]],3,FALSE)="","",VLOOKUP(Åtgärdslista32[[#This Row],[Kolumn3]],Åtgärdslista3[[Kolumn3]:[Kolumn5]],3,FALSE))</f>
        <v>Värme</v>
      </c>
      <c r="E59" s="12" t="str">
        <f>IF(VLOOKUP(Åtgärdslista32[[#This Row],[Kolumn3]],Åtgärdslista3[[Kolumn3]:[Kolumn5]],4,FALSE)="","",VLOOKUP(Åtgärdslista32[[#This Row],[Kolumn3]],Åtgärdslista3[[Kolumn3]:[Kolumn5]],4,FALSE))</f>
        <v>Frånluftsvärmepump</v>
      </c>
      <c r="F59" s="215" t="s">
        <v>26</v>
      </c>
      <c r="G59" s="177">
        <f>IF(Åtgärdslista32[[#This Row],[Kolumn42]]="ja",VLOOKUP(Åtgärdslista32[[#This Row],[Kolumn3]],Åtgärdslista3[[Kolumn3]:[Kolumn5]],19,FALSE),"-")</f>
        <v>14.189999999999998</v>
      </c>
      <c r="H59" s="178">
        <f>IF(Åtgärdslista32[[#This Row],[Kolumn42]]="ja",VLOOKUP(Åtgärdslista32[[#This Row],[Kolumn3]],Åtgärdslista3[[Kolumn3]:[Kolumn5]],20,FALSE),"-")</f>
        <v>250</v>
      </c>
      <c r="I59" s="178">
        <f>IFERROR(Åtgärdslista32[[#This Row],[Kolumn5]]/Åtgärdslista32[[#This Row],[Kolumn11]],"-")</f>
        <v>17.618040873854831</v>
      </c>
      <c r="J59" s="197">
        <f>IF(Åtgärdslista32[[#This Row],[Kolumn33]]="","",IFERROR(VLOOKUP(Åtgärdslista32[[#This Row],[Kolumn33]],'Nuvärdesberäkning år'!$C$3:$D$23,2,FALSE),"Kategori saknas"))</f>
        <v>20</v>
      </c>
      <c r="K59" s="45">
        <f t="shared" si="2"/>
        <v>-38.888631730136495</v>
      </c>
      <c r="L59" s="146"/>
      <c r="M59" s="77"/>
      <c r="N59" s="77"/>
      <c r="O59" s="148"/>
      <c r="P59" s="143" t="str">
        <f>IF(Åtgärdslista32[[#This Row],[Kolumn1]]&lt;&gt;"",Åtgärdslista32[[#This Row],[Kolumn11]],"-")</f>
        <v>-</v>
      </c>
      <c r="Q59" s="135" t="str">
        <f>IF(Åtgärdslista32[[#This Row],[Kolumn1]]&lt;&gt;"",Åtgärdslista32[[#This Row],[Kolumn5]],"-")</f>
        <v>-</v>
      </c>
      <c r="R59" s="135" t="str">
        <f>IF(Åtgärdslista32[[#This Row],[Kolumn6]]&lt;&gt;"",Åtgärdslista32[[#This Row],[Kolumn11]],"-")</f>
        <v>-</v>
      </c>
      <c r="S59" s="135" t="str">
        <f>IF(Åtgärdslista32[[#This Row],[Kolumn22]]&lt;&gt;"",Åtgärdslista32[[#This Row],[Kolumn5]],"-")</f>
        <v>-</v>
      </c>
      <c r="T59" s="135" t="str">
        <f>IF(Åtgärdslista32[[#This Row],[Kolumn22]]&lt;&gt;"",Åtgärdslista32[[#This Row],[Kolumn11]],"-")</f>
        <v>-</v>
      </c>
      <c r="U59" s="135" t="str">
        <f>IF(Åtgärdslista32[[#This Row],[Kolumn22]]&lt;&gt;"",Åtgärdslista32[[#This Row],[Kolumn5]],"-")</f>
        <v>-</v>
      </c>
      <c r="V59" s="135" t="str">
        <f>IF(Åtgärdslista32[[#This Row],[Kolumn43]]&lt;&gt;"",Åtgärdslista32[[#This Row],[Kolumn11]],"-")</f>
        <v>-</v>
      </c>
      <c r="W59" s="135" t="str">
        <f>IF(Åtgärdslista32[[#This Row],[Kolumn43]]&lt;&gt;"",Åtgärdslista32[[#This Row],[Kolumn5]],"-")</f>
        <v>-</v>
      </c>
    </row>
    <row r="60" spans="1:23" s="13" customFormat="1" ht="15.6" x14ac:dyDescent="0.3">
      <c r="A60"/>
      <c r="B60" s="25">
        <v>44</v>
      </c>
      <c r="C60" s="26" t="str">
        <f>IF(VLOOKUP(Åtgärdslista32[[#This Row],[Kolumn3]],Åtgärdslista3[[Kolumn3]:[Kolumn5]],2,FALSE)="","",VLOOKUP(Åtgärdslista32[[#This Row],[Kolumn3]],Åtgärdslista3[[Kolumn3]:[Kolumn5]],2,FALSE))</f>
        <v>Terassen 1</v>
      </c>
      <c r="D60" s="26" t="str">
        <f>IF(VLOOKUP(Åtgärdslista32[[#This Row],[Kolumn3]],Åtgärdslista3[[Kolumn3]:[Kolumn5]],3,FALSE)="","",VLOOKUP(Åtgärdslista32[[#This Row],[Kolumn3]],Åtgärdslista3[[Kolumn3]:[Kolumn5]],3,FALSE))</f>
        <v>Vattenspar</v>
      </c>
      <c r="E60" s="12" t="str">
        <f>IF(VLOOKUP(Åtgärdslista32[[#This Row],[Kolumn3]],Åtgärdslista3[[Kolumn3]:[Kolumn5]],4,FALSE)="","",VLOOKUP(Åtgärdslista32[[#This Row],[Kolumn3]],Åtgärdslista3[[Kolumn3]:[Kolumn5]],4,FALSE))</f>
        <v>Vattenspar</v>
      </c>
      <c r="F60" s="215" t="s">
        <v>26</v>
      </c>
      <c r="G60" s="177">
        <f>IF(Åtgärdslista32[[#This Row],[Kolumn42]]="ja",VLOOKUP(Åtgärdslista32[[#This Row],[Kolumn3]],Åtgärdslista3[[Kolumn3]:[Kolumn5]],19,FALSE),"-")</f>
        <v>1.518</v>
      </c>
      <c r="H60" s="178">
        <f>IF(Åtgärdslista32[[#This Row],[Kolumn42]]="ja",VLOOKUP(Åtgärdslista32[[#This Row],[Kolumn3]],Åtgärdslista3[[Kolumn3]:[Kolumn5]],20,FALSE),"-")</f>
        <v>16</v>
      </c>
      <c r="I60" s="178">
        <f>IFERROR(Åtgärdslista32[[#This Row],[Kolumn5]]/Åtgärdslista32[[#This Row],[Kolumn11]],"-")</f>
        <v>10.540184453227932</v>
      </c>
      <c r="J60" s="197">
        <f>IF(Åtgärdslista32[[#This Row],[Kolumn33]]="","",IFERROR(VLOOKUP(Åtgärdslista32[[#This Row],[Kolumn33]],'Nuvärdesberäkning år'!$C$3:$D$23,2,FALSE),"Kategori saknas"))</f>
        <v>10</v>
      </c>
      <c r="K60" s="45">
        <f t="shared" si="2"/>
        <v>-3.0511520937742969</v>
      </c>
      <c r="L60" s="146"/>
      <c r="M60" s="77"/>
      <c r="N60" s="77"/>
      <c r="O60" s="148"/>
      <c r="P60" s="143" t="str">
        <f>IF(Åtgärdslista32[[#This Row],[Kolumn1]]&lt;&gt;"",Åtgärdslista32[[#This Row],[Kolumn11]],"-")</f>
        <v>-</v>
      </c>
      <c r="Q60" s="135" t="str">
        <f>IF(Åtgärdslista32[[#This Row],[Kolumn1]]&lt;&gt;"",Åtgärdslista32[[#This Row],[Kolumn5]],"-")</f>
        <v>-</v>
      </c>
      <c r="R60" s="135" t="str">
        <f>IF(Åtgärdslista32[[#This Row],[Kolumn6]]&lt;&gt;"",Åtgärdslista32[[#This Row],[Kolumn11]],"-")</f>
        <v>-</v>
      </c>
      <c r="S60" s="135" t="str">
        <f>IF(Åtgärdslista32[[#This Row],[Kolumn22]]&lt;&gt;"",Åtgärdslista32[[#This Row],[Kolumn5]],"-")</f>
        <v>-</v>
      </c>
      <c r="T60" s="135" t="str">
        <f>IF(Åtgärdslista32[[#This Row],[Kolumn22]]&lt;&gt;"",Åtgärdslista32[[#This Row],[Kolumn11]],"-")</f>
        <v>-</v>
      </c>
      <c r="U60" s="135" t="str">
        <f>IF(Åtgärdslista32[[#This Row],[Kolumn22]]&lt;&gt;"",Åtgärdslista32[[#This Row],[Kolumn5]],"-")</f>
        <v>-</v>
      </c>
      <c r="V60" s="135" t="str">
        <f>IF(Åtgärdslista32[[#This Row],[Kolumn43]]&lt;&gt;"",Åtgärdslista32[[#This Row],[Kolumn11]],"-")</f>
        <v>-</v>
      </c>
      <c r="W60" s="135" t="str">
        <f>IF(Åtgärdslista32[[#This Row],[Kolumn43]]&lt;&gt;"",Åtgärdslista32[[#This Row],[Kolumn5]],"-")</f>
        <v>-</v>
      </c>
    </row>
    <row r="61" spans="1:23" s="13" customFormat="1" ht="15.6" x14ac:dyDescent="0.3">
      <c r="A61"/>
      <c r="B61" s="25">
        <v>45</v>
      </c>
      <c r="C61" s="26" t="str">
        <f>IF(VLOOKUP(Åtgärdslista32[[#This Row],[Kolumn3]],Åtgärdslista3[[Kolumn3]:[Kolumn5]],2,FALSE)="","",VLOOKUP(Åtgärdslista32[[#This Row],[Kolumn3]],Åtgärdslista3[[Kolumn3]:[Kolumn5]],2,FALSE))</f>
        <v>Linden 16</v>
      </c>
      <c r="D61" s="26" t="str">
        <f>IF(VLOOKUP(Åtgärdslista32[[#This Row],[Kolumn3]],Åtgärdslista3[[Kolumn3]:[Kolumn5]],3,FALSE)="","",VLOOKUP(Åtgärdslista32[[#This Row],[Kolumn3]],Åtgärdslista3[[Kolumn3]:[Kolumn5]],3,FALSE))</f>
        <v>Värme</v>
      </c>
      <c r="E61" s="12" t="str">
        <f>IF(VLOOKUP(Åtgärdslista32[[#This Row],[Kolumn3]],Åtgärdslista3[[Kolumn3]:[Kolumn5]],4,FALSE)="","",VLOOKUP(Åtgärdslista32[[#This Row],[Kolumn3]],Åtgärdslista3[[Kolumn3]:[Kolumn5]],4,FALSE))</f>
        <v>Ny fjv-central</v>
      </c>
      <c r="F61" s="215" t="s">
        <v>26</v>
      </c>
      <c r="G61" s="177">
        <f>IF(Åtgärdslista32[[#This Row],[Kolumn42]]="ja",VLOOKUP(Åtgärdslista32[[#This Row],[Kolumn3]],Åtgärdslista3[[Kolumn3]:[Kolumn5]],19,FALSE),"-")</f>
        <v>4.4809999999999999</v>
      </c>
      <c r="H61" s="178">
        <f>IF(Åtgärdslista32[[#This Row],[Kolumn42]]="ja",VLOOKUP(Åtgärdslista32[[#This Row],[Kolumn3]],Åtgärdslista3[[Kolumn3]:[Kolumn5]],20,FALSE),"-")</f>
        <v>200</v>
      </c>
      <c r="I61" s="178">
        <f>IFERROR(Åtgärdslista32[[#This Row],[Kolumn5]]/Åtgärdslista32[[#This Row],[Kolumn11]],"-")</f>
        <v>44.632894443204641</v>
      </c>
      <c r="J61" s="197">
        <f>IF(Åtgärdslista32[[#This Row],[Kolumn33]]="","",IFERROR(VLOOKUP(Åtgärdslista32[[#This Row],[Kolumn33]],'Nuvärdesberäkning år'!$C$3:$D$23,2,FALSE),"Kategori saknas"))</f>
        <v>20</v>
      </c>
      <c r="K61" s="45">
        <f t="shared" si="2"/>
        <v>-133.33403515029892</v>
      </c>
      <c r="L61" s="146"/>
      <c r="M61" s="77"/>
      <c r="N61" s="77"/>
      <c r="O61" s="148"/>
      <c r="P61" s="143" t="str">
        <f>IF(Åtgärdslista32[[#This Row],[Kolumn1]]&lt;&gt;"",Åtgärdslista32[[#This Row],[Kolumn11]],"-")</f>
        <v>-</v>
      </c>
      <c r="Q61" s="135" t="str">
        <f>IF(Åtgärdslista32[[#This Row],[Kolumn1]]&lt;&gt;"",Åtgärdslista32[[#This Row],[Kolumn5]],"-")</f>
        <v>-</v>
      </c>
      <c r="R61" s="135" t="str">
        <f>IF(Åtgärdslista32[[#This Row],[Kolumn6]]&lt;&gt;"",Åtgärdslista32[[#This Row],[Kolumn11]],"-")</f>
        <v>-</v>
      </c>
      <c r="S61" s="135" t="str">
        <f>IF(Åtgärdslista32[[#This Row],[Kolumn22]]&lt;&gt;"",Åtgärdslista32[[#This Row],[Kolumn5]],"-")</f>
        <v>-</v>
      </c>
      <c r="T61" s="135" t="str">
        <f>IF(Åtgärdslista32[[#This Row],[Kolumn22]]&lt;&gt;"",Åtgärdslista32[[#This Row],[Kolumn11]],"-")</f>
        <v>-</v>
      </c>
      <c r="U61" s="135" t="str">
        <f>IF(Åtgärdslista32[[#This Row],[Kolumn22]]&lt;&gt;"",Åtgärdslista32[[#This Row],[Kolumn5]],"-")</f>
        <v>-</v>
      </c>
      <c r="V61" s="135" t="str">
        <f>IF(Åtgärdslista32[[#This Row],[Kolumn43]]&lt;&gt;"",Åtgärdslista32[[#This Row],[Kolumn11]],"-")</f>
        <v>-</v>
      </c>
      <c r="W61" s="135" t="str">
        <f>IF(Åtgärdslista32[[#This Row],[Kolumn43]]&lt;&gt;"",Åtgärdslista32[[#This Row],[Kolumn5]],"-")</f>
        <v>-</v>
      </c>
    </row>
    <row r="62" spans="1:23" s="13" customFormat="1" ht="15.6" x14ac:dyDescent="0.3">
      <c r="A62"/>
      <c r="B62" s="25">
        <v>46</v>
      </c>
      <c r="C62" s="26" t="str">
        <f>IF(VLOOKUP(Åtgärdslista32[[#This Row],[Kolumn3]],Åtgärdslista3[[Kolumn3]:[Kolumn5]],2,FALSE)="","",VLOOKUP(Åtgärdslista32[[#This Row],[Kolumn3]],Åtgärdslista3[[Kolumn3]:[Kolumn5]],2,FALSE))</f>
        <v>Terassen 1</v>
      </c>
      <c r="D62" s="26" t="str">
        <f>IF(VLOOKUP(Åtgärdslista32[[#This Row],[Kolumn3]],Åtgärdslista3[[Kolumn3]:[Kolumn5]],3,FALSE)="","",VLOOKUP(Åtgärdslista32[[#This Row],[Kolumn3]],Åtgärdslista3[[Kolumn3]:[Kolumn5]],3,FALSE))</f>
        <v>Värme</v>
      </c>
      <c r="E62" s="12" t="str">
        <f>IF(VLOOKUP(Åtgärdslista32[[#This Row],[Kolumn3]],Åtgärdslista3[[Kolumn3]:[Kolumn5]],4,FALSE)="","",VLOOKUP(Åtgärdslista32[[#This Row],[Kolumn3]],Åtgärdslista3[[Kolumn3]:[Kolumn5]],4,FALSE))</f>
        <v>Ny fjv-central</v>
      </c>
      <c r="F62" s="215" t="s">
        <v>26</v>
      </c>
      <c r="G62" s="177">
        <f>IF(Åtgärdslista32[[#This Row],[Kolumn42]]="ja",VLOOKUP(Åtgärdslista32[[#This Row],[Kolumn3]],Åtgärdslista3[[Kolumn3]:[Kolumn5]],19,FALSE),"-")</f>
        <v>7.1070000000000002</v>
      </c>
      <c r="H62" s="178">
        <f>IF(Åtgärdslista32[[#This Row],[Kolumn42]]="ja",VLOOKUP(Åtgärdslista32[[#This Row],[Kolumn3]],Åtgärdslista3[[Kolumn3]:[Kolumn5]],20,FALSE),"-")</f>
        <v>350</v>
      </c>
      <c r="I62" s="178">
        <f>IFERROR(Åtgärdslista32[[#This Row],[Kolumn5]]/Åtgärdslista32[[#This Row],[Kolumn11]],"-")</f>
        <v>49.247221049669342</v>
      </c>
      <c r="J62" s="197">
        <f>IF(Åtgärdslista32[[#This Row],[Kolumn33]]="","",IFERROR(VLOOKUP(Åtgärdslista32[[#This Row],[Kolumn33]],'Nuvärdesberäkning år'!$C$3:$D$23,2,FALSE),"Kategori saknas"))</f>
        <v>20</v>
      </c>
      <c r="K62" s="45">
        <f t="shared" si="2"/>
        <v>-244.26578616674277</v>
      </c>
      <c r="L62" s="146"/>
      <c r="M62" s="77"/>
      <c r="N62" s="77"/>
      <c r="O62" s="148"/>
      <c r="P62" s="143" t="str">
        <f>IF(Åtgärdslista32[[#This Row],[Kolumn1]]&lt;&gt;"",Åtgärdslista32[[#This Row],[Kolumn11]],"-")</f>
        <v>-</v>
      </c>
      <c r="Q62" s="135" t="str">
        <f>IF(Åtgärdslista32[[#This Row],[Kolumn1]]&lt;&gt;"",Åtgärdslista32[[#This Row],[Kolumn5]],"-")</f>
        <v>-</v>
      </c>
      <c r="R62" s="135" t="str">
        <f>IF(Åtgärdslista32[[#This Row],[Kolumn6]]&lt;&gt;"",Åtgärdslista32[[#This Row],[Kolumn11]],"-")</f>
        <v>-</v>
      </c>
      <c r="S62" s="135" t="str">
        <f>IF(Åtgärdslista32[[#This Row],[Kolumn22]]&lt;&gt;"",Åtgärdslista32[[#This Row],[Kolumn5]],"-")</f>
        <v>-</v>
      </c>
      <c r="T62" s="135" t="str">
        <f>IF(Åtgärdslista32[[#This Row],[Kolumn22]]&lt;&gt;"",Åtgärdslista32[[#This Row],[Kolumn11]],"-")</f>
        <v>-</v>
      </c>
      <c r="U62" s="135" t="str">
        <f>IF(Åtgärdslista32[[#This Row],[Kolumn22]]&lt;&gt;"",Åtgärdslista32[[#This Row],[Kolumn5]],"-")</f>
        <v>-</v>
      </c>
      <c r="V62" s="135" t="str">
        <f>IF(Åtgärdslista32[[#This Row],[Kolumn43]]&lt;&gt;"",Åtgärdslista32[[#This Row],[Kolumn11]],"-")</f>
        <v>-</v>
      </c>
      <c r="W62" s="135" t="str">
        <f>IF(Åtgärdslista32[[#This Row],[Kolumn43]]&lt;&gt;"",Åtgärdslista32[[#This Row],[Kolumn5]],"-")</f>
        <v>-</v>
      </c>
    </row>
    <row r="63" spans="1:23" ht="15.6" x14ac:dyDescent="0.3">
      <c r="B63" s="25">
        <v>47</v>
      </c>
      <c r="C63" s="26" t="str">
        <f>IF(VLOOKUP(Åtgärdslista32[[#This Row],[Kolumn3]],Åtgärdslista3[[Kolumn3]:[Kolumn5]],2,FALSE)="","",VLOOKUP(Åtgärdslista32[[#This Row],[Kolumn3]],Åtgärdslista3[[Kolumn3]:[Kolumn5]],2,FALSE))</f>
        <v>Terassen 1</v>
      </c>
      <c r="D63" s="26" t="str">
        <f>IF(VLOOKUP(Åtgärdslista32[[#This Row],[Kolumn3]],Åtgärdslista3[[Kolumn3]:[Kolumn5]],3,FALSE)="","",VLOOKUP(Åtgärdslista32[[#This Row],[Kolumn3]],Åtgärdslista3[[Kolumn3]:[Kolumn5]],3,FALSE))</f>
        <v>Värme</v>
      </c>
      <c r="E63" s="12" t="str">
        <f>IF(VLOOKUP(Åtgärdslista32[[#This Row],[Kolumn3]],Åtgärdslista3[[Kolumn3]:[Kolumn5]],4,FALSE)="","",VLOOKUP(Åtgärdslista32[[#This Row],[Kolumn3]],Åtgärdslista3[[Kolumn3]:[Kolumn5]],4,FALSE))</f>
        <v>Nya termostater</v>
      </c>
      <c r="F63" s="215" t="s">
        <v>26</v>
      </c>
      <c r="G63" s="177">
        <f>IF(Åtgärdslista32[[#This Row],[Kolumn42]]="ja",VLOOKUP(Åtgärdslista32[[#This Row],[Kolumn3]],Åtgärdslista3[[Kolumn3]:[Kolumn5]],19,FALSE),"-")</f>
        <v>0.34499999999999997</v>
      </c>
      <c r="H63" s="178">
        <f>IF(Åtgärdslista32[[#This Row],[Kolumn42]]="ja",VLOOKUP(Åtgärdslista32[[#This Row],[Kolumn3]],Åtgärdslista3[[Kolumn3]:[Kolumn5]],20,FALSE),"-")</f>
        <v>5</v>
      </c>
      <c r="I63" s="178">
        <f>IFERROR(Åtgärdslista32[[#This Row],[Kolumn5]]/Åtgärdslista32[[#This Row],[Kolumn11]],"-")</f>
        <v>14.492753623188406</v>
      </c>
      <c r="J63" s="197">
        <f>IF(Åtgärdslista32[[#This Row],[Kolumn33]]="","",IFERROR(VLOOKUP(Åtgärdslista32[[#This Row],[Kolumn33]],'Nuvärdesberäkning år'!$C$3:$D$23,2,FALSE),"Kategori saknas"))</f>
        <v>20</v>
      </c>
      <c r="K63" s="45">
        <f t="shared" si="2"/>
        <v>0.13272882685714738</v>
      </c>
      <c r="L63" s="146"/>
      <c r="M63" s="77"/>
      <c r="N63" s="77"/>
      <c r="O63" s="148"/>
      <c r="P63" s="143" t="str">
        <f>IF(Åtgärdslista32[[#This Row],[Kolumn1]]&lt;&gt;"",Åtgärdslista32[[#This Row],[Kolumn11]],"-")</f>
        <v>-</v>
      </c>
      <c r="Q63" s="135" t="str">
        <f>IF(Åtgärdslista32[[#This Row],[Kolumn1]]&lt;&gt;"",Åtgärdslista32[[#This Row],[Kolumn5]],"-")</f>
        <v>-</v>
      </c>
      <c r="R63" s="135" t="str">
        <f>IF(Åtgärdslista32[[#This Row],[Kolumn6]]&lt;&gt;"",Åtgärdslista32[[#This Row],[Kolumn11]],"-")</f>
        <v>-</v>
      </c>
      <c r="S63" s="135" t="str">
        <f>IF(Åtgärdslista32[[#This Row],[Kolumn22]]&lt;&gt;"",Åtgärdslista32[[#This Row],[Kolumn5]],"-")</f>
        <v>-</v>
      </c>
      <c r="T63" s="135" t="str">
        <f>IF(Åtgärdslista32[[#This Row],[Kolumn22]]&lt;&gt;"",Åtgärdslista32[[#This Row],[Kolumn11]],"-")</f>
        <v>-</v>
      </c>
      <c r="U63" s="135" t="str">
        <f>IF(Åtgärdslista32[[#This Row],[Kolumn22]]&lt;&gt;"",Åtgärdslista32[[#This Row],[Kolumn5]],"-")</f>
        <v>-</v>
      </c>
      <c r="V63" s="135" t="str">
        <f>IF(Åtgärdslista32[[#This Row],[Kolumn43]]&lt;&gt;"",Åtgärdslista32[[#This Row],[Kolumn11]],"-")</f>
        <v>-</v>
      </c>
      <c r="W63" s="135" t="str">
        <f>IF(Åtgärdslista32[[#This Row],[Kolumn43]]&lt;&gt;"",Åtgärdslista32[[#This Row],[Kolumn5]],"-")</f>
        <v>-</v>
      </c>
    </row>
    <row r="64" spans="1:23" ht="15.6" x14ac:dyDescent="0.3">
      <c r="B64" s="25">
        <v>48</v>
      </c>
      <c r="C64" s="26" t="str">
        <f>IF(VLOOKUP(Åtgärdslista32[[#This Row],[Kolumn3]],Åtgärdslista3[[Kolumn3]:[Kolumn5]],2,FALSE)="","",VLOOKUP(Åtgärdslista32[[#This Row],[Kolumn3]],Åtgärdslista3[[Kolumn3]:[Kolumn5]],2,FALSE))</f>
        <v>Linden 9</v>
      </c>
      <c r="D64" s="26" t="str">
        <f>IF(VLOOKUP(Åtgärdslista32[[#This Row],[Kolumn3]],Åtgärdslista3[[Kolumn3]:[Kolumn5]],3,FALSE)="","",VLOOKUP(Åtgärdslista32[[#This Row],[Kolumn3]],Åtgärdslista3[[Kolumn3]:[Kolumn5]],3,FALSE))</f>
        <v>Vattenspar</v>
      </c>
      <c r="E64" s="12" t="str">
        <f>IF(VLOOKUP(Åtgärdslista32[[#This Row],[Kolumn3]],Åtgärdslista3[[Kolumn3]:[Kolumn5]],4,FALSE)="","",VLOOKUP(Åtgärdslista32[[#This Row],[Kolumn3]],Åtgärdslista3[[Kolumn3]:[Kolumn5]],4,FALSE))</f>
        <v>Vattenspar</v>
      </c>
      <c r="F64" s="215" t="s">
        <v>26</v>
      </c>
      <c r="G64" s="177">
        <f>IF(Åtgärdslista32[[#This Row],[Kolumn42]]="ja",VLOOKUP(Åtgärdslista32[[#This Row],[Kolumn3]],Åtgärdslista3[[Kolumn3]:[Kolumn5]],19,FALSE),"-")</f>
        <v>1.3779999999999999</v>
      </c>
      <c r="H64" s="178">
        <f>IF(Åtgärdslista32[[#This Row],[Kolumn42]]="ja",VLOOKUP(Åtgärdslista32[[#This Row],[Kolumn3]],Åtgärdslista3[[Kolumn3]:[Kolumn5]],20,FALSE),"-")</f>
        <v>4</v>
      </c>
      <c r="I64" s="178">
        <f>IFERROR(Åtgärdslista32[[#This Row],[Kolumn5]]/Åtgärdslista32[[#This Row],[Kolumn11]],"-")</f>
        <v>2.9027576197387521</v>
      </c>
      <c r="J64" s="197">
        <f>IF(Åtgärdslista32[[#This Row],[Kolumn33]]="","",IFERROR(VLOOKUP(Åtgärdslista32[[#This Row],[Kolumn33]],'Nuvärdesberäkning år'!$C$3:$D$23,2,FALSE),"Kategori saknas"))</f>
        <v>10</v>
      </c>
      <c r="K64" s="45">
        <f t="shared" si="2"/>
        <v>7.754619509077088</v>
      </c>
      <c r="L64" s="146"/>
      <c r="M64" s="77"/>
      <c r="N64" s="77"/>
      <c r="O64" s="148"/>
      <c r="P64" s="143" t="str">
        <f>IF(Åtgärdslista32[[#This Row],[Kolumn1]]&lt;&gt;"",Åtgärdslista32[[#This Row],[Kolumn11]],"-")</f>
        <v>-</v>
      </c>
      <c r="Q64" s="135" t="str">
        <f>IF(Åtgärdslista32[[#This Row],[Kolumn1]]&lt;&gt;"",Åtgärdslista32[[#This Row],[Kolumn5]],"-")</f>
        <v>-</v>
      </c>
      <c r="R64" s="135" t="str">
        <f>IF(Åtgärdslista32[[#This Row],[Kolumn6]]&lt;&gt;"",Åtgärdslista32[[#This Row],[Kolumn11]],"-")</f>
        <v>-</v>
      </c>
      <c r="S64" s="135" t="str">
        <f>IF(Åtgärdslista32[[#This Row],[Kolumn22]]&lt;&gt;"",Åtgärdslista32[[#This Row],[Kolumn5]],"-")</f>
        <v>-</v>
      </c>
      <c r="T64" s="135" t="str">
        <f>IF(Åtgärdslista32[[#This Row],[Kolumn22]]&lt;&gt;"",Åtgärdslista32[[#This Row],[Kolumn11]],"-")</f>
        <v>-</v>
      </c>
      <c r="U64" s="135" t="str">
        <f>IF(Åtgärdslista32[[#This Row],[Kolumn22]]&lt;&gt;"",Åtgärdslista32[[#This Row],[Kolumn5]],"-")</f>
        <v>-</v>
      </c>
      <c r="V64" s="135" t="str">
        <f>IF(Åtgärdslista32[[#This Row],[Kolumn43]]&lt;&gt;"",Åtgärdslista32[[#This Row],[Kolumn11]],"-")</f>
        <v>-</v>
      </c>
      <c r="W64" s="135" t="str">
        <f>IF(Åtgärdslista32[[#This Row],[Kolumn43]]&lt;&gt;"",Åtgärdslista32[[#This Row],[Kolumn5]],"-")</f>
        <v>-</v>
      </c>
    </row>
    <row r="65" spans="2:23" ht="15.6" x14ac:dyDescent="0.3">
      <c r="B65" s="25">
        <v>49</v>
      </c>
      <c r="C65" s="26" t="str">
        <f>IF(VLOOKUP(Åtgärdslista32[[#This Row],[Kolumn3]],Åtgärdslista3[[Kolumn3]:[Kolumn5]],2,FALSE)="","",VLOOKUP(Åtgärdslista32[[#This Row],[Kolumn3]],Åtgärdslista3[[Kolumn3]:[Kolumn5]],2,FALSE))</f>
        <v>Linden 9</v>
      </c>
      <c r="D65" s="26" t="str">
        <f>IF(VLOOKUP(Åtgärdslista32[[#This Row],[Kolumn3]],Åtgärdslista3[[Kolumn3]:[Kolumn5]],3,FALSE)="","",VLOOKUP(Åtgärdslista32[[#This Row],[Kolumn3]],Åtgärdslista3[[Kolumn3]:[Kolumn5]],3,FALSE))</f>
        <v>Styr och regler</v>
      </c>
      <c r="E65" s="12" t="str">
        <f>IF(VLOOKUP(Åtgärdslista32[[#This Row],[Kolumn3]],Åtgärdslista3[[Kolumn3]:[Kolumn5]],4,FALSE)="","",VLOOKUP(Åtgärdslista32[[#This Row],[Kolumn3]],Åtgärdslista3[[Kolumn3]:[Kolumn5]],4,FALSE))</f>
        <v>Styr och regler</v>
      </c>
      <c r="F65" s="215" t="s">
        <v>26</v>
      </c>
      <c r="G65" s="177">
        <f>IF(Åtgärdslista32[[#This Row],[Kolumn42]]="ja",VLOOKUP(Åtgärdslista32[[#This Row],[Kolumn3]],Åtgärdslista3[[Kolumn3]:[Kolumn5]],19,FALSE),"-")</f>
        <v>3.6569999999999996</v>
      </c>
      <c r="H65" s="178">
        <f>IF(Åtgärdslista32[[#This Row],[Kolumn42]]="ja",VLOOKUP(Åtgärdslista32[[#This Row],[Kolumn3]],Åtgärdslista3[[Kolumn3]:[Kolumn5]],20,FALSE),"-")</f>
        <v>50</v>
      </c>
      <c r="I65" s="178">
        <f>IFERROR(Åtgärdslista32[[#This Row],[Kolumn5]]/Åtgärdslista32[[#This Row],[Kolumn11]],"-")</f>
        <v>13.67240907847963</v>
      </c>
      <c r="J65" s="197">
        <f>IF(Åtgärdslista32[[#This Row],[Kolumn33]]="","",IFERROR(VLOOKUP(Åtgärdslista32[[#This Row],[Kolumn33]],'Nuvärdesberäkning år'!$C$3:$D$23,2,FALSE),"Kategori saknas"))</f>
        <v>15</v>
      </c>
      <c r="K65" s="45">
        <f t="shared" si="2"/>
        <v>-6.3429713876598939</v>
      </c>
      <c r="L65" s="146"/>
      <c r="M65" s="77" t="s">
        <v>114</v>
      </c>
      <c r="N65" s="77"/>
      <c r="O65" s="148"/>
      <c r="P65" s="143" t="str">
        <f>IF(Åtgärdslista32[[#This Row],[Kolumn1]]&lt;&gt;"",Åtgärdslista32[[#This Row],[Kolumn11]],"-")</f>
        <v>-</v>
      </c>
      <c r="Q65" s="135" t="str">
        <f>IF(Åtgärdslista32[[#This Row],[Kolumn1]]&lt;&gt;"",Åtgärdslista32[[#This Row],[Kolumn5]],"-")</f>
        <v>-</v>
      </c>
      <c r="R65" s="135">
        <f>IF(Åtgärdslista32[[#This Row],[Kolumn6]]&lt;&gt;"",Åtgärdslista32[[#This Row],[Kolumn11]],"-")</f>
        <v>3.6569999999999996</v>
      </c>
      <c r="S65" s="135" t="str">
        <f>IF(Åtgärdslista32[[#This Row],[Kolumn22]]&lt;&gt;"",Åtgärdslista32[[#This Row],[Kolumn5]],"-")</f>
        <v>-</v>
      </c>
      <c r="T65" s="135" t="str">
        <f>IF(Åtgärdslista32[[#This Row],[Kolumn22]]&lt;&gt;"",Åtgärdslista32[[#This Row],[Kolumn11]],"-")</f>
        <v>-</v>
      </c>
      <c r="U65" s="135" t="str">
        <f>IF(Åtgärdslista32[[#This Row],[Kolumn22]]&lt;&gt;"",Åtgärdslista32[[#This Row],[Kolumn5]],"-")</f>
        <v>-</v>
      </c>
      <c r="V65" s="135" t="str">
        <f>IF(Åtgärdslista32[[#This Row],[Kolumn43]]&lt;&gt;"",Åtgärdslista32[[#This Row],[Kolumn11]],"-")</f>
        <v>-</v>
      </c>
      <c r="W65" s="135" t="str">
        <f>IF(Åtgärdslista32[[#This Row],[Kolumn43]]&lt;&gt;"",Åtgärdslista32[[#This Row],[Kolumn5]],"-")</f>
        <v>-</v>
      </c>
    </row>
    <row r="66" spans="2:23" ht="15.6" x14ac:dyDescent="0.3">
      <c r="B66" s="25">
        <v>50</v>
      </c>
      <c r="C66" s="26" t="str">
        <f>IF(VLOOKUP(Åtgärdslista32[[#This Row],[Kolumn3]],Åtgärdslista3[[Kolumn3]:[Kolumn5]],2,FALSE)="","",VLOOKUP(Åtgärdslista32[[#This Row],[Kolumn3]],Åtgärdslista3[[Kolumn3]:[Kolumn5]],2,FALSE))</f>
        <v/>
      </c>
      <c r="D66" s="26" t="str">
        <f>IF(VLOOKUP(Åtgärdslista32[[#This Row],[Kolumn3]],Åtgärdslista3[[Kolumn3]:[Kolumn5]],3,FALSE)="","",VLOOKUP(Åtgärdslista32[[#This Row],[Kolumn3]],Åtgärdslista3[[Kolumn3]:[Kolumn5]],3,FALSE))</f>
        <v/>
      </c>
      <c r="E66" s="12" t="str">
        <f>IF(VLOOKUP(Åtgärdslista32[[#This Row],[Kolumn3]],Åtgärdslista3[[Kolumn3]:[Kolumn5]],4,FALSE)="","",VLOOKUP(Åtgärdslista32[[#This Row],[Kolumn3]],Åtgärdslista3[[Kolumn3]:[Kolumn5]],4,FALSE))</f>
        <v/>
      </c>
      <c r="F66" s="215" t="s">
        <v>26</v>
      </c>
      <c r="G66" s="177">
        <f>IF(Åtgärdslista32[[#This Row],[Kolumn42]]="ja",VLOOKUP(Åtgärdslista32[[#This Row],[Kolumn3]],Åtgärdslista3[[Kolumn3]:[Kolumn5]],19,FALSE),"-")</f>
        <v>0</v>
      </c>
      <c r="H66" s="178" t="str">
        <f>IF(Åtgärdslista32[[#This Row],[Kolumn42]]="ja",VLOOKUP(Åtgärdslista32[[#This Row],[Kolumn3]],Åtgärdslista3[[Kolumn3]:[Kolumn5]],20,FALSE),"-")</f>
        <v>-</v>
      </c>
      <c r="I66" s="178" t="str">
        <f>IFERROR(Åtgärdslista32[[#This Row],[Kolumn5]]/Åtgärdslista32[[#This Row],[Kolumn11]],"-")</f>
        <v>-</v>
      </c>
      <c r="J66" s="197" t="str">
        <f>IF(Åtgärdslista32[[#This Row],[Kolumn33]]="","",IFERROR(VLOOKUP(Åtgärdslista32[[#This Row],[Kolumn33]],'Nuvärdesberäkning år'!$C$3:$D$23,2,FALSE),"Kategori saknas"))</f>
        <v/>
      </c>
      <c r="K66" s="45" t="str">
        <f t="shared" si="2"/>
        <v>-</v>
      </c>
      <c r="L66" s="146"/>
      <c r="M66" s="77"/>
      <c r="N66" s="77"/>
      <c r="O66" s="148"/>
      <c r="P66" s="143" t="str">
        <f>IF(Åtgärdslista32[[#This Row],[Kolumn1]]&lt;&gt;"",Åtgärdslista32[[#This Row],[Kolumn11]],"-")</f>
        <v>-</v>
      </c>
      <c r="Q66" s="135" t="str">
        <f>IF(Åtgärdslista32[[#This Row],[Kolumn1]]&lt;&gt;"",Åtgärdslista32[[#This Row],[Kolumn5]],"-")</f>
        <v>-</v>
      </c>
      <c r="R66" s="135" t="str">
        <f>IF(Åtgärdslista32[[#This Row],[Kolumn6]]&lt;&gt;"",Åtgärdslista32[[#This Row],[Kolumn11]],"-")</f>
        <v>-</v>
      </c>
      <c r="S66" s="135" t="str">
        <f>IF(Åtgärdslista32[[#This Row],[Kolumn22]]&lt;&gt;"",Åtgärdslista32[[#This Row],[Kolumn5]],"-")</f>
        <v>-</v>
      </c>
      <c r="T66" s="135" t="str">
        <f>IF(Åtgärdslista32[[#This Row],[Kolumn22]]&lt;&gt;"",Åtgärdslista32[[#This Row],[Kolumn11]],"-")</f>
        <v>-</v>
      </c>
      <c r="U66" s="135" t="str">
        <f>IF(Åtgärdslista32[[#This Row],[Kolumn22]]&lt;&gt;"",Åtgärdslista32[[#This Row],[Kolumn5]],"-")</f>
        <v>-</v>
      </c>
      <c r="V66" s="135" t="str">
        <f>IF(Åtgärdslista32[[#This Row],[Kolumn43]]&lt;&gt;"",Åtgärdslista32[[#This Row],[Kolumn11]],"-")</f>
        <v>-</v>
      </c>
      <c r="W66" s="135" t="str">
        <f>IF(Åtgärdslista32[[#This Row],[Kolumn43]]&lt;&gt;"",Åtgärdslista32[[#This Row],[Kolumn5]],"-")</f>
        <v>-</v>
      </c>
    </row>
    <row r="67" spans="2:23" ht="15.6" x14ac:dyDescent="0.3">
      <c r="B67" s="25">
        <v>51</v>
      </c>
      <c r="C67" s="26" t="str">
        <f>IF(VLOOKUP(Åtgärdslista32[[#This Row],[Kolumn3]],Åtgärdslista3[[Kolumn3]:[Kolumn5]],2,FALSE)="","",VLOOKUP(Åtgärdslista32[[#This Row],[Kolumn3]],Åtgärdslista3[[Kolumn3]:[Kolumn5]],2,FALSE))</f>
        <v/>
      </c>
      <c r="D67" s="26" t="str">
        <f>IF(VLOOKUP(Åtgärdslista32[[#This Row],[Kolumn3]],Åtgärdslista3[[Kolumn3]:[Kolumn5]],3,FALSE)="","",VLOOKUP(Åtgärdslista32[[#This Row],[Kolumn3]],Åtgärdslista3[[Kolumn3]:[Kolumn5]],3,FALSE))</f>
        <v/>
      </c>
      <c r="E67" s="12" t="str">
        <f>IF(VLOOKUP(Åtgärdslista32[[#This Row],[Kolumn3]],Åtgärdslista3[[Kolumn3]:[Kolumn5]],4,FALSE)="","",VLOOKUP(Åtgärdslista32[[#This Row],[Kolumn3]],Åtgärdslista3[[Kolumn3]:[Kolumn5]],4,FALSE))</f>
        <v/>
      </c>
      <c r="F67" s="215" t="s">
        <v>26</v>
      </c>
      <c r="G67" s="177">
        <f>IF(Åtgärdslista32[[#This Row],[Kolumn42]]="ja",VLOOKUP(Åtgärdslista32[[#This Row],[Kolumn3]],Åtgärdslista3[[Kolumn3]:[Kolumn5]],19,FALSE),"-")</f>
        <v>0</v>
      </c>
      <c r="H67" s="178" t="str">
        <f>IF(Åtgärdslista32[[#This Row],[Kolumn42]]="ja",VLOOKUP(Åtgärdslista32[[#This Row],[Kolumn3]],Åtgärdslista3[[Kolumn3]:[Kolumn5]],20,FALSE),"-")</f>
        <v>-</v>
      </c>
      <c r="I67" s="178" t="str">
        <f>IFERROR(Åtgärdslista32[[#This Row],[Kolumn5]]/Åtgärdslista32[[#This Row],[Kolumn11]],"-")</f>
        <v>-</v>
      </c>
      <c r="J67" s="197" t="str">
        <f>IF(Åtgärdslista32[[#This Row],[Kolumn33]]="","",IFERROR(VLOOKUP(Åtgärdslista32[[#This Row],[Kolumn33]],'Nuvärdesberäkning år'!$C$3:$D$23,2,FALSE),"Kategori saknas"))</f>
        <v/>
      </c>
      <c r="K67" s="45" t="str">
        <f t="shared" si="2"/>
        <v>-</v>
      </c>
      <c r="L67" s="146"/>
      <c r="M67" s="77"/>
      <c r="N67" s="77"/>
      <c r="O67" s="148"/>
      <c r="P67" s="143" t="str">
        <f>IF(Åtgärdslista32[[#This Row],[Kolumn1]]&lt;&gt;"",Åtgärdslista32[[#This Row],[Kolumn11]],"-")</f>
        <v>-</v>
      </c>
      <c r="Q67" s="135" t="str">
        <f>IF(Åtgärdslista32[[#This Row],[Kolumn1]]&lt;&gt;"",Åtgärdslista32[[#This Row],[Kolumn5]],"-")</f>
        <v>-</v>
      </c>
      <c r="R67" s="135" t="str">
        <f>IF(Åtgärdslista32[[#This Row],[Kolumn6]]&lt;&gt;"",Åtgärdslista32[[#This Row],[Kolumn11]],"-")</f>
        <v>-</v>
      </c>
      <c r="S67" s="135" t="str">
        <f>IF(Åtgärdslista32[[#This Row],[Kolumn22]]&lt;&gt;"",Åtgärdslista32[[#This Row],[Kolumn5]],"-")</f>
        <v>-</v>
      </c>
      <c r="T67" s="135" t="str">
        <f>IF(Åtgärdslista32[[#This Row],[Kolumn22]]&lt;&gt;"",Åtgärdslista32[[#This Row],[Kolumn11]],"-")</f>
        <v>-</v>
      </c>
      <c r="U67" s="135" t="str">
        <f>IF(Åtgärdslista32[[#This Row],[Kolumn22]]&lt;&gt;"",Åtgärdslista32[[#This Row],[Kolumn5]],"-")</f>
        <v>-</v>
      </c>
      <c r="V67" s="135" t="str">
        <f>IF(Åtgärdslista32[[#This Row],[Kolumn43]]&lt;&gt;"",Åtgärdslista32[[#This Row],[Kolumn11]],"-")</f>
        <v>-</v>
      </c>
      <c r="W67" s="135" t="str">
        <f>IF(Åtgärdslista32[[#This Row],[Kolumn43]]&lt;&gt;"",Åtgärdslista32[[#This Row],[Kolumn5]],"-")</f>
        <v>-</v>
      </c>
    </row>
    <row r="68" spans="2:23" ht="15.6" x14ac:dyDescent="0.3">
      <c r="B68" s="25">
        <v>52</v>
      </c>
      <c r="C68" s="26" t="str">
        <f>IF(VLOOKUP(Åtgärdslista32[[#This Row],[Kolumn3]],Åtgärdslista3[[Kolumn3]:[Kolumn5]],2,FALSE)="","",VLOOKUP(Åtgärdslista32[[#This Row],[Kolumn3]],Åtgärdslista3[[Kolumn3]:[Kolumn5]],2,FALSE))</f>
        <v/>
      </c>
      <c r="D68" s="26" t="str">
        <f>IF(VLOOKUP(Åtgärdslista32[[#This Row],[Kolumn3]],Åtgärdslista3[[Kolumn3]:[Kolumn5]],3,FALSE)="","",VLOOKUP(Åtgärdslista32[[#This Row],[Kolumn3]],Åtgärdslista3[[Kolumn3]:[Kolumn5]],3,FALSE))</f>
        <v/>
      </c>
      <c r="E68" s="12" t="str">
        <f>IF(VLOOKUP(Åtgärdslista32[[#This Row],[Kolumn3]],Åtgärdslista3[[Kolumn3]:[Kolumn5]],4,FALSE)="","",VLOOKUP(Åtgärdslista32[[#This Row],[Kolumn3]],Åtgärdslista3[[Kolumn3]:[Kolumn5]],4,FALSE))</f>
        <v/>
      </c>
      <c r="F68" s="215" t="s">
        <v>26</v>
      </c>
      <c r="G68" s="177">
        <f>IF(Åtgärdslista32[[#This Row],[Kolumn42]]="ja",VLOOKUP(Åtgärdslista32[[#This Row],[Kolumn3]],Åtgärdslista3[[Kolumn3]:[Kolumn5]],19,FALSE),"-")</f>
        <v>0</v>
      </c>
      <c r="H68" s="178" t="str">
        <f>IF(Åtgärdslista32[[#This Row],[Kolumn42]]="ja",VLOOKUP(Åtgärdslista32[[#This Row],[Kolumn3]],Åtgärdslista3[[Kolumn3]:[Kolumn5]],20,FALSE),"-")</f>
        <v>-</v>
      </c>
      <c r="I68" s="178" t="str">
        <f>IFERROR(Åtgärdslista32[[#This Row],[Kolumn5]]/Åtgärdslista32[[#This Row],[Kolumn11]],"-")</f>
        <v>-</v>
      </c>
      <c r="J68" s="197" t="str">
        <f>IF(Åtgärdslista32[[#This Row],[Kolumn33]]="","",IFERROR(VLOOKUP(Åtgärdslista32[[#This Row],[Kolumn33]],'Nuvärdesberäkning år'!$C$3:$D$23,2,FALSE),"Kategori saknas"))</f>
        <v/>
      </c>
      <c r="K68" s="45" t="str">
        <f t="shared" si="2"/>
        <v>-</v>
      </c>
      <c r="L68" s="146"/>
      <c r="M68" s="77"/>
      <c r="N68" s="77"/>
      <c r="O68" s="148"/>
      <c r="P68" s="143" t="str">
        <f>IF(Åtgärdslista32[[#This Row],[Kolumn1]]&lt;&gt;"",Åtgärdslista32[[#This Row],[Kolumn11]],"-")</f>
        <v>-</v>
      </c>
      <c r="Q68" s="135" t="str">
        <f>IF(Åtgärdslista32[[#This Row],[Kolumn1]]&lt;&gt;"",Åtgärdslista32[[#This Row],[Kolumn5]],"-")</f>
        <v>-</v>
      </c>
      <c r="R68" s="135" t="str">
        <f>IF(Åtgärdslista32[[#This Row],[Kolumn6]]&lt;&gt;"",Åtgärdslista32[[#This Row],[Kolumn11]],"-")</f>
        <v>-</v>
      </c>
      <c r="S68" s="135" t="str">
        <f>IF(Åtgärdslista32[[#This Row],[Kolumn22]]&lt;&gt;"",Åtgärdslista32[[#This Row],[Kolumn5]],"-")</f>
        <v>-</v>
      </c>
      <c r="T68" s="135" t="str">
        <f>IF(Åtgärdslista32[[#This Row],[Kolumn22]]&lt;&gt;"",Åtgärdslista32[[#This Row],[Kolumn11]],"-")</f>
        <v>-</v>
      </c>
      <c r="U68" s="135" t="str">
        <f>IF(Åtgärdslista32[[#This Row],[Kolumn22]]&lt;&gt;"",Åtgärdslista32[[#This Row],[Kolumn5]],"-")</f>
        <v>-</v>
      </c>
      <c r="V68" s="135" t="str">
        <f>IF(Åtgärdslista32[[#This Row],[Kolumn43]]&lt;&gt;"",Åtgärdslista32[[#This Row],[Kolumn11]],"-")</f>
        <v>-</v>
      </c>
      <c r="W68" s="135" t="str">
        <f>IF(Åtgärdslista32[[#This Row],[Kolumn43]]&lt;&gt;"",Åtgärdslista32[[#This Row],[Kolumn5]],"-")</f>
        <v>-</v>
      </c>
    </row>
    <row r="69" spans="2:23" ht="15.6" x14ac:dyDescent="0.3">
      <c r="B69" s="25">
        <v>53</v>
      </c>
      <c r="C69" s="26" t="str">
        <f>IF(VLOOKUP(Åtgärdslista32[[#This Row],[Kolumn3]],Åtgärdslista3[[Kolumn3]:[Kolumn5]],2,FALSE)="","",VLOOKUP(Åtgärdslista32[[#This Row],[Kolumn3]],Åtgärdslista3[[Kolumn3]:[Kolumn5]],2,FALSE))</f>
        <v/>
      </c>
      <c r="D69" s="26" t="str">
        <f>IF(VLOOKUP(Åtgärdslista32[[#This Row],[Kolumn3]],Åtgärdslista3[[Kolumn3]:[Kolumn5]],3,FALSE)="","",VLOOKUP(Åtgärdslista32[[#This Row],[Kolumn3]],Åtgärdslista3[[Kolumn3]:[Kolumn5]],3,FALSE))</f>
        <v/>
      </c>
      <c r="E69" s="12" t="str">
        <f>IF(VLOOKUP(Åtgärdslista32[[#This Row],[Kolumn3]],Åtgärdslista3[[Kolumn3]:[Kolumn5]],4,FALSE)="","",VLOOKUP(Åtgärdslista32[[#This Row],[Kolumn3]],Åtgärdslista3[[Kolumn3]:[Kolumn5]],4,FALSE))</f>
        <v/>
      </c>
      <c r="F69" s="215" t="s">
        <v>26</v>
      </c>
      <c r="G69" s="177">
        <f>IF(Åtgärdslista32[[#This Row],[Kolumn42]]="ja",VLOOKUP(Åtgärdslista32[[#This Row],[Kolumn3]],Åtgärdslista3[[Kolumn3]:[Kolumn5]],19,FALSE),"-")</f>
        <v>0</v>
      </c>
      <c r="H69" s="178" t="str">
        <f>IF(Åtgärdslista32[[#This Row],[Kolumn42]]="ja",VLOOKUP(Åtgärdslista32[[#This Row],[Kolumn3]],Åtgärdslista3[[Kolumn3]:[Kolumn5]],20,FALSE),"-")</f>
        <v>-</v>
      </c>
      <c r="I69" s="178" t="str">
        <f>IFERROR(Åtgärdslista32[[#This Row],[Kolumn5]]/Åtgärdslista32[[#This Row],[Kolumn11]],"-")</f>
        <v>-</v>
      </c>
      <c r="J69" s="197" t="str">
        <f>IF(Åtgärdslista32[[#This Row],[Kolumn33]]="","",IFERROR(VLOOKUP(Åtgärdslista32[[#This Row],[Kolumn33]],'Nuvärdesberäkning år'!$C$3:$D$23,2,FALSE),"Kategori saknas"))</f>
        <v/>
      </c>
      <c r="K69" s="45" t="str">
        <f t="shared" si="2"/>
        <v>-</v>
      </c>
      <c r="L69" s="146"/>
      <c r="M69" s="77"/>
      <c r="N69" s="77"/>
      <c r="O69" s="148"/>
      <c r="P69" s="143" t="str">
        <f>IF(Åtgärdslista32[[#This Row],[Kolumn1]]&lt;&gt;"",Åtgärdslista32[[#This Row],[Kolumn11]],"-")</f>
        <v>-</v>
      </c>
      <c r="Q69" s="135" t="str">
        <f>IF(Åtgärdslista32[[#This Row],[Kolumn1]]&lt;&gt;"",Åtgärdslista32[[#This Row],[Kolumn5]],"-")</f>
        <v>-</v>
      </c>
      <c r="R69" s="135" t="str">
        <f>IF(Åtgärdslista32[[#This Row],[Kolumn6]]&lt;&gt;"",Åtgärdslista32[[#This Row],[Kolumn11]],"-")</f>
        <v>-</v>
      </c>
      <c r="S69" s="135" t="str">
        <f>IF(Åtgärdslista32[[#This Row],[Kolumn22]]&lt;&gt;"",Åtgärdslista32[[#This Row],[Kolumn5]],"-")</f>
        <v>-</v>
      </c>
      <c r="T69" s="135" t="str">
        <f>IF(Åtgärdslista32[[#This Row],[Kolumn22]]&lt;&gt;"",Åtgärdslista32[[#This Row],[Kolumn11]],"-")</f>
        <v>-</v>
      </c>
      <c r="U69" s="135" t="str">
        <f>IF(Åtgärdslista32[[#This Row],[Kolumn22]]&lt;&gt;"",Åtgärdslista32[[#This Row],[Kolumn5]],"-")</f>
        <v>-</v>
      </c>
      <c r="V69" s="135" t="str">
        <f>IF(Åtgärdslista32[[#This Row],[Kolumn43]]&lt;&gt;"",Åtgärdslista32[[#This Row],[Kolumn11]],"-")</f>
        <v>-</v>
      </c>
      <c r="W69" s="135" t="str">
        <f>IF(Åtgärdslista32[[#This Row],[Kolumn43]]&lt;&gt;"",Åtgärdslista32[[#This Row],[Kolumn5]],"-")</f>
        <v>-</v>
      </c>
    </row>
    <row r="70" spans="2:23" ht="15.6" x14ac:dyDescent="0.3">
      <c r="B70" s="25">
        <v>54</v>
      </c>
      <c r="C70" s="26" t="str">
        <f>IF(VLOOKUP(Åtgärdslista32[[#This Row],[Kolumn3]],Åtgärdslista3[[Kolumn3]:[Kolumn5]],2,FALSE)="","",VLOOKUP(Åtgärdslista32[[#This Row],[Kolumn3]],Åtgärdslista3[[Kolumn3]:[Kolumn5]],2,FALSE))</f>
        <v/>
      </c>
      <c r="D70" s="26" t="str">
        <f>IF(VLOOKUP(Åtgärdslista32[[#This Row],[Kolumn3]],Åtgärdslista3[[Kolumn3]:[Kolumn5]],3,FALSE)="","",VLOOKUP(Åtgärdslista32[[#This Row],[Kolumn3]],Åtgärdslista3[[Kolumn3]:[Kolumn5]],3,FALSE))</f>
        <v/>
      </c>
      <c r="E70" s="12" t="str">
        <f>IF(VLOOKUP(Åtgärdslista32[[#This Row],[Kolumn3]],Åtgärdslista3[[Kolumn3]:[Kolumn5]],4,FALSE)="","",VLOOKUP(Åtgärdslista32[[#This Row],[Kolumn3]],Åtgärdslista3[[Kolumn3]:[Kolumn5]],4,FALSE))</f>
        <v/>
      </c>
      <c r="F70" s="215" t="s">
        <v>26</v>
      </c>
      <c r="G70" s="177">
        <f>IF(Åtgärdslista32[[#This Row],[Kolumn42]]="ja",VLOOKUP(Åtgärdslista32[[#This Row],[Kolumn3]],Åtgärdslista3[[Kolumn3]:[Kolumn5]],19,FALSE),"-")</f>
        <v>0</v>
      </c>
      <c r="H70" s="178" t="str">
        <f>IF(Åtgärdslista32[[#This Row],[Kolumn42]]="ja",VLOOKUP(Åtgärdslista32[[#This Row],[Kolumn3]],Åtgärdslista3[[Kolumn3]:[Kolumn5]],20,FALSE),"-")</f>
        <v>-</v>
      </c>
      <c r="I70" s="178" t="str">
        <f>IFERROR(Åtgärdslista32[[#This Row],[Kolumn5]]/Åtgärdslista32[[#This Row],[Kolumn11]],"-")</f>
        <v>-</v>
      </c>
      <c r="J70" s="197" t="str">
        <f>IF(Åtgärdslista32[[#This Row],[Kolumn33]]="","",IFERROR(VLOOKUP(Åtgärdslista32[[#This Row],[Kolumn33]],'Nuvärdesberäkning år'!$C$3:$D$23,2,FALSE),"Kategori saknas"))</f>
        <v/>
      </c>
      <c r="K70" s="45" t="str">
        <f t="shared" si="2"/>
        <v>-</v>
      </c>
      <c r="L70" s="146"/>
      <c r="M70" s="77"/>
      <c r="N70" s="77"/>
      <c r="O70" s="148"/>
      <c r="P70" s="143" t="str">
        <f>IF(Åtgärdslista32[[#This Row],[Kolumn1]]&lt;&gt;"",Åtgärdslista32[[#This Row],[Kolumn11]],"-")</f>
        <v>-</v>
      </c>
      <c r="Q70" s="135" t="str">
        <f>IF(Åtgärdslista32[[#This Row],[Kolumn1]]&lt;&gt;"",Åtgärdslista32[[#This Row],[Kolumn5]],"-")</f>
        <v>-</v>
      </c>
      <c r="R70" s="135" t="str">
        <f>IF(Åtgärdslista32[[#This Row],[Kolumn6]]&lt;&gt;"",Åtgärdslista32[[#This Row],[Kolumn11]],"-")</f>
        <v>-</v>
      </c>
      <c r="S70" s="135" t="str">
        <f>IF(Åtgärdslista32[[#This Row],[Kolumn22]]&lt;&gt;"",Åtgärdslista32[[#This Row],[Kolumn5]],"-")</f>
        <v>-</v>
      </c>
      <c r="T70" s="135" t="str">
        <f>IF(Åtgärdslista32[[#This Row],[Kolumn22]]&lt;&gt;"",Åtgärdslista32[[#This Row],[Kolumn11]],"-")</f>
        <v>-</v>
      </c>
      <c r="U70" s="135" t="str">
        <f>IF(Åtgärdslista32[[#This Row],[Kolumn22]]&lt;&gt;"",Åtgärdslista32[[#This Row],[Kolumn5]],"-")</f>
        <v>-</v>
      </c>
      <c r="V70" s="135" t="str">
        <f>IF(Åtgärdslista32[[#This Row],[Kolumn43]]&lt;&gt;"",Åtgärdslista32[[#This Row],[Kolumn11]],"-")</f>
        <v>-</v>
      </c>
      <c r="W70" s="135" t="str">
        <f>IF(Åtgärdslista32[[#This Row],[Kolumn43]]&lt;&gt;"",Åtgärdslista32[[#This Row],[Kolumn5]],"-")</f>
        <v>-</v>
      </c>
    </row>
    <row r="71" spans="2:23" ht="15.6" x14ac:dyDescent="0.3">
      <c r="B71" s="25">
        <v>55</v>
      </c>
      <c r="C71" s="26" t="str">
        <f>IF(VLOOKUP(Åtgärdslista32[[#This Row],[Kolumn3]],Åtgärdslista3[[Kolumn3]:[Kolumn5]],2,FALSE)="","",VLOOKUP(Åtgärdslista32[[#This Row],[Kolumn3]],Åtgärdslista3[[Kolumn3]:[Kolumn5]],2,FALSE))</f>
        <v/>
      </c>
      <c r="D71" s="26" t="str">
        <f>IF(VLOOKUP(Åtgärdslista32[[#This Row],[Kolumn3]],Åtgärdslista3[[Kolumn3]:[Kolumn5]],3,FALSE)="","",VLOOKUP(Åtgärdslista32[[#This Row],[Kolumn3]],Åtgärdslista3[[Kolumn3]:[Kolumn5]],3,FALSE))</f>
        <v/>
      </c>
      <c r="E71" s="12" t="str">
        <f>IF(VLOOKUP(Åtgärdslista32[[#This Row],[Kolumn3]],Åtgärdslista3[[Kolumn3]:[Kolumn5]],4,FALSE)="","",VLOOKUP(Åtgärdslista32[[#This Row],[Kolumn3]],Åtgärdslista3[[Kolumn3]:[Kolumn5]],4,FALSE))</f>
        <v/>
      </c>
      <c r="F71" s="215" t="s">
        <v>26</v>
      </c>
      <c r="G71" s="177">
        <f>IF(Åtgärdslista32[[#This Row],[Kolumn42]]="ja",VLOOKUP(Åtgärdslista32[[#This Row],[Kolumn3]],Åtgärdslista3[[Kolumn3]:[Kolumn5]],19,FALSE),"-")</f>
        <v>0</v>
      </c>
      <c r="H71" s="178" t="str">
        <f>IF(Åtgärdslista32[[#This Row],[Kolumn42]]="ja",VLOOKUP(Åtgärdslista32[[#This Row],[Kolumn3]],Åtgärdslista3[[Kolumn3]:[Kolumn5]],20,FALSE),"-")</f>
        <v>-</v>
      </c>
      <c r="I71" s="178" t="str">
        <f>IFERROR(Åtgärdslista32[[#This Row],[Kolumn5]]/Åtgärdslista32[[#This Row],[Kolumn11]],"-")</f>
        <v>-</v>
      </c>
      <c r="J71" s="197" t="str">
        <f>IF(Åtgärdslista32[[#This Row],[Kolumn33]]="","",IFERROR(VLOOKUP(Åtgärdslista32[[#This Row],[Kolumn33]],'Nuvärdesberäkning år'!$C$3:$D$23,2,FALSE),"Kategori saknas"))</f>
        <v/>
      </c>
      <c r="K71" s="45" t="str">
        <f t="shared" si="2"/>
        <v>-</v>
      </c>
      <c r="L71" s="146"/>
      <c r="M71" s="77"/>
      <c r="N71" s="77"/>
      <c r="O71" s="148"/>
      <c r="P71" s="143" t="str">
        <f>IF(Åtgärdslista32[[#This Row],[Kolumn1]]&lt;&gt;"",Åtgärdslista32[[#This Row],[Kolumn11]],"-")</f>
        <v>-</v>
      </c>
      <c r="Q71" s="135" t="str">
        <f>IF(Åtgärdslista32[[#This Row],[Kolumn1]]&lt;&gt;"",Åtgärdslista32[[#This Row],[Kolumn5]],"-")</f>
        <v>-</v>
      </c>
      <c r="R71" s="135" t="str">
        <f>IF(Åtgärdslista32[[#This Row],[Kolumn6]]&lt;&gt;"",Åtgärdslista32[[#This Row],[Kolumn11]],"-")</f>
        <v>-</v>
      </c>
      <c r="S71" s="135" t="str">
        <f>IF(Åtgärdslista32[[#This Row],[Kolumn22]]&lt;&gt;"",Åtgärdslista32[[#This Row],[Kolumn5]],"-")</f>
        <v>-</v>
      </c>
      <c r="T71" s="135" t="str">
        <f>IF(Åtgärdslista32[[#This Row],[Kolumn22]]&lt;&gt;"",Åtgärdslista32[[#This Row],[Kolumn11]],"-")</f>
        <v>-</v>
      </c>
      <c r="U71" s="135" t="str">
        <f>IF(Åtgärdslista32[[#This Row],[Kolumn22]]&lt;&gt;"",Åtgärdslista32[[#This Row],[Kolumn5]],"-")</f>
        <v>-</v>
      </c>
      <c r="V71" s="135" t="str">
        <f>IF(Åtgärdslista32[[#This Row],[Kolumn43]]&lt;&gt;"",Åtgärdslista32[[#This Row],[Kolumn11]],"-")</f>
        <v>-</v>
      </c>
      <c r="W71" s="135" t="str">
        <f>IF(Åtgärdslista32[[#This Row],[Kolumn43]]&lt;&gt;"",Åtgärdslista32[[#This Row],[Kolumn5]],"-")</f>
        <v>-</v>
      </c>
    </row>
    <row r="72" spans="2:23" ht="15.6" x14ac:dyDescent="0.3">
      <c r="B72" s="25">
        <v>56</v>
      </c>
      <c r="C72" s="26" t="str">
        <f>IF(VLOOKUP(Åtgärdslista32[[#This Row],[Kolumn3]],Åtgärdslista3[[Kolumn3]:[Kolumn5]],2,FALSE)="","",VLOOKUP(Åtgärdslista32[[#This Row],[Kolumn3]],Åtgärdslista3[[Kolumn3]:[Kolumn5]],2,FALSE))</f>
        <v/>
      </c>
      <c r="D72" s="26" t="str">
        <f>IF(VLOOKUP(Åtgärdslista32[[#This Row],[Kolumn3]],Åtgärdslista3[[Kolumn3]:[Kolumn5]],3,FALSE)="","",VLOOKUP(Åtgärdslista32[[#This Row],[Kolumn3]],Åtgärdslista3[[Kolumn3]:[Kolumn5]],3,FALSE))</f>
        <v/>
      </c>
      <c r="E72" s="12" t="str">
        <f>IF(VLOOKUP(Åtgärdslista32[[#This Row],[Kolumn3]],Åtgärdslista3[[Kolumn3]:[Kolumn5]],4,FALSE)="","",VLOOKUP(Åtgärdslista32[[#This Row],[Kolumn3]],Åtgärdslista3[[Kolumn3]:[Kolumn5]],4,FALSE))</f>
        <v/>
      </c>
      <c r="F72" s="215" t="s">
        <v>26</v>
      </c>
      <c r="G72" s="177">
        <f>IF(Åtgärdslista32[[#This Row],[Kolumn42]]="ja",VLOOKUP(Åtgärdslista32[[#This Row],[Kolumn3]],Åtgärdslista3[[Kolumn3]:[Kolumn5]],19,FALSE),"-")</f>
        <v>0</v>
      </c>
      <c r="H72" s="178" t="str">
        <f>IF(Åtgärdslista32[[#This Row],[Kolumn42]]="ja",VLOOKUP(Åtgärdslista32[[#This Row],[Kolumn3]],Åtgärdslista3[[Kolumn3]:[Kolumn5]],20,FALSE),"-")</f>
        <v>-</v>
      </c>
      <c r="I72" s="178" t="str">
        <f>IFERROR(Åtgärdslista32[[#This Row],[Kolumn5]]/Åtgärdslista32[[#This Row],[Kolumn11]],"-")</f>
        <v>-</v>
      </c>
      <c r="J72" s="197" t="str">
        <f>IF(Åtgärdslista32[[#This Row],[Kolumn33]]="","",IFERROR(VLOOKUP(Åtgärdslista32[[#This Row],[Kolumn33]],'Nuvärdesberäkning år'!$C$3:$D$23,2,FALSE),"Kategori saknas"))</f>
        <v/>
      </c>
      <c r="K72" s="45" t="str">
        <f t="shared" si="2"/>
        <v>-</v>
      </c>
      <c r="L72" s="146"/>
      <c r="M72" s="77"/>
      <c r="N72" s="77"/>
      <c r="O72" s="148"/>
      <c r="P72" s="143" t="str">
        <f>IF(Åtgärdslista32[[#This Row],[Kolumn1]]&lt;&gt;"",Åtgärdslista32[[#This Row],[Kolumn11]],"-")</f>
        <v>-</v>
      </c>
      <c r="Q72" s="135" t="str">
        <f>IF(Åtgärdslista32[[#This Row],[Kolumn1]]&lt;&gt;"",Åtgärdslista32[[#This Row],[Kolumn5]],"-")</f>
        <v>-</v>
      </c>
      <c r="R72" s="135" t="str">
        <f>IF(Åtgärdslista32[[#This Row],[Kolumn6]]&lt;&gt;"",Åtgärdslista32[[#This Row],[Kolumn11]],"-")</f>
        <v>-</v>
      </c>
      <c r="S72" s="135" t="str">
        <f>IF(Åtgärdslista32[[#This Row],[Kolumn22]]&lt;&gt;"",Åtgärdslista32[[#This Row],[Kolumn5]],"-")</f>
        <v>-</v>
      </c>
      <c r="T72" s="135" t="str">
        <f>IF(Åtgärdslista32[[#This Row],[Kolumn22]]&lt;&gt;"",Åtgärdslista32[[#This Row],[Kolumn11]],"-")</f>
        <v>-</v>
      </c>
      <c r="U72" s="135" t="str">
        <f>IF(Åtgärdslista32[[#This Row],[Kolumn22]]&lt;&gt;"",Åtgärdslista32[[#This Row],[Kolumn5]],"-")</f>
        <v>-</v>
      </c>
      <c r="V72" s="135" t="str">
        <f>IF(Åtgärdslista32[[#This Row],[Kolumn43]]&lt;&gt;"",Åtgärdslista32[[#This Row],[Kolumn11]],"-")</f>
        <v>-</v>
      </c>
      <c r="W72" s="135" t="str">
        <f>IF(Åtgärdslista32[[#This Row],[Kolumn43]]&lt;&gt;"",Åtgärdslista32[[#This Row],[Kolumn5]],"-")</f>
        <v>-</v>
      </c>
    </row>
    <row r="73" spans="2:23" ht="15.6" x14ac:dyDescent="0.3">
      <c r="B73" s="25">
        <v>57</v>
      </c>
      <c r="C73" s="26" t="str">
        <f>IF(VLOOKUP(Åtgärdslista32[[#This Row],[Kolumn3]],Åtgärdslista3[[Kolumn3]:[Kolumn5]],2,FALSE)="","",VLOOKUP(Åtgärdslista32[[#This Row],[Kolumn3]],Åtgärdslista3[[Kolumn3]:[Kolumn5]],2,FALSE))</f>
        <v/>
      </c>
      <c r="D73" s="26" t="str">
        <f>IF(VLOOKUP(Åtgärdslista32[[#This Row],[Kolumn3]],Åtgärdslista3[[Kolumn3]:[Kolumn5]],3,FALSE)="","",VLOOKUP(Åtgärdslista32[[#This Row],[Kolumn3]],Åtgärdslista3[[Kolumn3]:[Kolumn5]],3,FALSE))</f>
        <v/>
      </c>
      <c r="E73" s="12" t="str">
        <f>IF(VLOOKUP(Åtgärdslista32[[#This Row],[Kolumn3]],Åtgärdslista3[[Kolumn3]:[Kolumn5]],4,FALSE)="","",VLOOKUP(Åtgärdslista32[[#This Row],[Kolumn3]],Åtgärdslista3[[Kolumn3]:[Kolumn5]],4,FALSE))</f>
        <v/>
      </c>
      <c r="F73" s="215" t="s">
        <v>26</v>
      </c>
      <c r="G73" s="177">
        <f>IF(Åtgärdslista32[[#This Row],[Kolumn42]]="ja",VLOOKUP(Åtgärdslista32[[#This Row],[Kolumn3]],Åtgärdslista3[[Kolumn3]:[Kolumn5]],19,FALSE),"-")</f>
        <v>0</v>
      </c>
      <c r="H73" s="178" t="str">
        <f>IF(Åtgärdslista32[[#This Row],[Kolumn42]]="ja",VLOOKUP(Åtgärdslista32[[#This Row],[Kolumn3]],Åtgärdslista3[[Kolumn3]:[Kolumn5]],20,FALSE),"-")</f>
        <v>-</v>
      </c>
      <c r="I73" s="178" t="str">
        <f>IFERROR(Åtgärdslista32[[#This Row],[Kolumn5]]/Åtgärdslista32[[#This Row],[Kolumn11]],"-")</f>
        <v>-</v>
      </c>
      <c r="J73" s="197" t="str">
        <f>IF(Åtgärdslista32[[#This Row],[Kolumn33]]="","",IFERROR(VLOOKUP(Åtgärdslista32[[#This Row],[Kolumn33]],'Nuvärdesberäkning år'!$C$3:$D$23,2,FALSE),"Kategori saknas"))</f>
        <v/>
      </c>
      <c r="K73" s="45" t="str">
        <f t="shared" si="2"/>
        <v>-</v>
      </c>
      <c r="L73" s="146"/>
      <c r="M73" s="77"/>
      <c r="N73" s="77"/>
      <c r="O73" s="148"/>
      <c r="P73" s="143" t="str">
        <f>IF(Åtgärdslista32[[#This Row],[Kolumn1]]&lt;&gt;"",Åtgärdslista32[[#This Row],[Kolumn11]],"-")</f>
        <v>-</v>
      </c>
      <c r="Q73" s="135" t="str">
        <f>IF(Åtgärdslista32[[#This Row],[Kolumn1]]&lt;&gt;"",Åtgärdslista32[[#This Row],[Kolumn5]],"-")</f>
        <v>-</v>
      </c>
      <c r="R73" s="135" t="str">
        <f>IF(Åtgärdslista32[[#This Row],[Kolumn6]]&lt;&gt;"",Åtgärdslista32[[#This Row],[Kolumn11]],"-")</f>
        <v>-</v>
      </c>
      <c r="S73" s="135" t="str">
        <f>IF(Åtgärdslista32[[#This Row],[Kolumn22]]&lt;&gt;"",Åtgärdslista32[[#This Row],[Kolumn5]],"-")</f>
        <v>-</v>
      </c>
      <c r="T73" s="135" t="str">
        <f>IF(Åtgärdslista32[[#This Row],[Kolumn22]]&lt;&gt;"",Åtgärdslista32[[#This Row],[Kolumn11]],"-")</f>
        <v>-</v>
      </c>
      <c r="U73" s="135" t="str">
        <f>IF(Åtgärdslista32[[#This Row],[Kolumn22]]&lt;&gt;"",Åtgärdslista32[[#This Row],[Kolumn5]],"-")</f>
        <v>-</v>
      </c>
      <c r="V73" s="135" t="str">
        <f>IF(Åtgärdslista32[[#This Row],[Kolumn43]]&lt;&gt;"",Åtgärdslista32[[#This Row],[Kolumn11]],"-")</f>
        <v>-</v>
      </c>
      <c r="W73" s="135" t="str">
        <f>IF(Åtgärdslista32[[#This Row],[Kolumn43]]&lt;&gt;"",Åtgärdslista32[[#This Row],[Kolumn5]],"-")</f>
        <v>-</v>
      </c>
    </row>
    <row r="74" spans="2:23" ht="15.6" x14ac:dyDescent="0.3">
      <c r="B74" s="25">
        <v>58</v>
      </c>
      <c r="C74" s="26" t="str">
        <f>IF(VLOOKUP(Åtgärdslista32[[#This Row],[Kolumn3]],Åtgärdslista3[[Kolumn3]:[Kolumn5]],2,FALSE)="","",VLOOKUP(Åtgärdslista32[[#This Row],[Kolumn3]],Åtgärdslista3[[Kolumn3]:[Kolumn5]],2,FALSE))</f>
        <v/>
      </c>
      <c r="D74" s="26" t="str">
        <f>IF(VLOOKUP(Åtgärdslista32[[#This Row],[Kolumn3]],Åtgärdslista3[[Kolumn3]:[Kolumn5]],3,FALSE)="","",VLOOKUP(Åtgärdslista32[[#This Row],[Kolumn3]],Åtgärdslista3[[Kolumn3]:[Kolumn5]],3,FALSE))</f>
        <v/>
      </c>
      <c r="E74" s="12" t="str">
        <f>IF(VLOOKUP(Åtgärdslista32[[#This Row],[Kolumn3]],Åtgärdslista3[[Kolumn3]:[Kolumn5]],4,FALSE)="","",VLOOKUP(Åtgärdslista32[[#This Row],[Kolumn3]],Åtgärdslista3[[Kolumn3]:[Kolumn5]],4,FALSE))</f>
        <v/>
      </c>
      <c r="F74" s="215" t="s">
        <v>26</v>
      </c>
      <c r="G74" s="177">
        <f>IF(Åtgärdslista32[[#This Row],[Kolumn42]]="ja",VLOOKUP(Åtgärdslista32[[#This Row],[Kolumn3]],Åtgärdslista3[[Kolumn3]:[Kolumn5]],19,FALSE),"-")</f>
        <v>0</v>
      </c>
      <c r="H74" s="178" t="str">
        <f>IF(Åtgärdslista32[[#This Row],[Kolumn42]]="ja",VLOOKUP(Åtgärdslista32[[#This Row],[Kolumn3]],Åtgärdslista3[[Kolumn3]:[Kolumn5]],20,FALSE),"-")</f>
        <v>-</v>
      </c>
      <c r="I74" s="178" t="str">
        <f>IFERROR(Åtgärdslista32[[#This Row],[Kolumn5]]/Åtgärdslista32[[#This Row],[Kolumn11]],"-")</f>
        <v>-</v>
      </c>
      <c r="J74" s="197" t="str">
        <f>IF(Åtgärdslista32[[#This Row],[Kolumn33]]="","",IFERROR(VLOOKUP(Åtgärdslista32[[#This Row],[Kolumn33]],'Nuvärdesberäkning år'!$C$3:$D$23,2,FALSE),"Kategori saknas"))</f>
        <v/>
      </c>
      <c r="K74" s="45" t="str">
        <f t="shared" si="2"/>
        <v>-</v>
      </c>
      <c r="L74" s="146"/>
      <c r="M74" s="77"/>
      <c r="N74" s="77"/>
      <c r="O74" s="148"/>
      <c r="P74" s="143" t="str">
        <f>IF(Åtgärdslista32[[#This Row],[Kolumn1]]&lt;&gt;"",Åtgärdslista32[[#This Row],[Kolumn11]],"-")</f>
        <v>-</v>
      </c>
      <c r="Q74" s="135" t="str">
        <f>IF(Åtgärdslista32[[#This Row],[Kolumn1]]&lt;&gt;"",Åtgärdslista32[[#This Row],[Kolumn5]],"-")</f>
        <v>-</v>
      </c>
      <c r="R74" s="135" t="str">
        <f>IF(Åtgärdslista32[[#This Row],[Kolumn6]]&lt;&gt;"",Åtgärdslista32[[#This Row],[Kolumn11]],"-")</f>
        <v>-</v>
      </c>
      <c r="S74" s="135" t="str">
        <f>IF(Åtgärdslista32[[#This Row],[Kolumn22]]&lt;&gt;"",Åtgärdslista32[[#This Row],[Kolumn5]],"-")</f>
        <v>-</v>
      </c>
      <c r="T74" s="135" t="str">
        <f>IF(Åtgärdslista32[[#This Row],[Kolumn22]]&lt;&gt;"",Åtgärdslista32[[#This Row],[Kolumn11]],"-")</f>
        <v>-</v>
      </c>
      <c r="U74" s="135" t="str">
        <f>IF(Åtgärdslista32[[#This Row],[Kolumn22]]&lt;&gt;"",Åtgärdslista32[[#This Row],[Kolumn5]],"-")</f>
        <v>-</v>
      </c>
      <c r="V74" s="135" t="str">
        <f>IF(Åtgärdslista32[[#This Row],[Kolumn43]]&lt;&gt;"",Åtgärdslista32[[#This Row],[Kolumn11]],"-")</f>
        <v>-</v>
      </c>
      <c r="W74" s="135" t="str">
        <f>IF(Åtgärdslista32[[#This Row],[Kolumn43]]&lt;&gt;"",Åtgärdslista32[[#This Row],[Kolumn5]],"-")</f>
        <v>-</v>
      </c>
    </row>
    <row r="75" spans="2:23" ht="16.2" thickBot="1" x14ac:dyDescent="0.35">
      <c r="B75" s="25">
        <v>59</v>
      </c>
      <c r="C75" s="26" t="str">
        <f>IF(VLOOKUP(Åtgärdslista32[[#This Row],[Kolumn3]],Åtgärdslista3[[Kolumn3]:[Kolumn5]],2,FALSE)="","",VLOOKUP(Åtgärdslista32[[#This Row],[Kolumn3]],Åtgärdslista3[[Kolumn3]:[Kolumn5]],2,FALSE))</f>
        <v/>
      </c>
      <c r="D75" s="26" t="str">
        <f>IF(VLOOKUP(Åtgärdslista32[[#This Row],[Kolumn3]],Åtgärdslista3[[Kolumn3]:[Kolumn5]],3,FALSE)="","",VLOOKUP(Åtgärdslista32[[#This Row],[Kolumn3]],Åtgärdslista3[[Kolumn3]:[Kolumn5]],3,FALSE))</f>
        <v/>
      </c>
      <c r="E75" s="12" t="str">
        <f>IF(VLOOKUP(Åtgärdslista32[[#This Row],[Kolumn3]],Åtgärdslista3[[Kolumn3]:[Kolumn5]],4,FALSE)="","",VLOOKUP(Åtgärdslista32[[#This Row],[Kolumn3]],Åtgärdslista3[[Kolumn3]:[Kolumn5]],4,FALSE))</f>
        <v/>
      </c>
      <c r="F75" s="215" t="s">
        <v>26</v>
      </c>
      <c r="G75" s="177">
        <f>IF(Åtgärdslista32[[#This Row],[Kolumn42]]="ja",VLOOKUP(Åtgärdslista32[[#This Row],[Kolumn3]],Åtgärdslista3[[Kolumn3]:[Kolumn5]],19,FALSE),"-")</f>
        <v>0</v>
      </c>
      <c r="H75" s="178" t="str">
        <f>IF(Åtgärdslista32[[#This Row],[Kolumn42]]="ja",VLOOKUP(Åtgärdslista32[[#This Row],[Kolumn3]],Åtgärdslista3[[Kolumn3]:[Kolumn5]],20,FALSE),"-")</f>
        <v>-</v>
      </c>
      <c r="I75" s="179" t="str">
        <f>IFERROR(Åtgärdslista32[[#This Row],[Kolumn5]]/Åtgärdslista32[[#This Row],[Kolumn11]],"-")</f>
        <v>-</v>
      </c>
      <c r="J75" s="197" t="str">
        <f>IF(Åtgärdslista32[[#This Row],[Kolumn33]]="","",IFERROR(VLOOKUP(Åtgärdslista32[[#This Row],[Kolumn33]],'Nuvärdesberäkning år'!$C$3:$D$23,2,FALSE),"Kategori saknas"))</f>
        <v/>
      </c>
      <c r="K75" s="195" t="str">
        <f t="shared" si="2"/>
        <v>-</v>
      </c>
      <c r="L75" s="153"/>
      <c r="M75" s="154"/>
      <c r="N75" s="154"/>
      <c r="O75" s="155"/>
      <c r="P75" s="144" t="str">
        <f>IF(Åtgärdslista32[[#This Row],[Kolumn1]]&lt;&gt;"",Åtgärdslista32[[#This Row],[Kolumn11]],"-")</f>
        <v>-</v>
      </c>
      <c r="Q75" s="136" t="str">
        <f>IF(Åtgärdslista32[[#This Row],[Kolumn1]]&lt;&gt;"",Åtgärdslista32[[#This Row],[Kolumn5]],"-")</f>
        <v>-</v>
      </c>
      <c r="R75" s="136" t="str">
        <f>IF(Åtgärdslista32[[#This Row],[Kolumn6]]&lt;&gt;"",Åtgärdslista32[[#This Row],[Kolumn11]],"-")</f>
        <v>-</v>
      </c>
      <c r="S75" s="135" t="str">
        <f>IF(Åtgärdslista32[[#This Row],[Kolumn22]]&lt;&gt;"",Åtgärdslista32[[#This Row],[Kolumn5]],"-")</f>
        <v>-</v>
      </c>
      <c r="T75" s="136" t="str">
        <f>IF(Åtgärdslista32[[#This Row],[Kolumn22]]&lt;&gt;"",Åtgärdslista32[[#This Row],[Kolumn11]],"-")</f>
        <v>-</v>
      </c>
      <c r="U75" s="136" t="str">
        <f>IF(Åtgärdslista32[[#This Row],[Kolumn22]]&lt;&gt;"",Åtgärdslista32[[#This Row],[Kolumn5]],"-")</f>
        <v>-</v>
      </c>
      <c r="V75" s="136" t="str">
        <f>IF(Åtgärdslista32[[#This Row],[Kolumn43]]&lt;&gt;"",Åtgärdslista32[[#This Row],[Kolumn11]],"-")</f>
        <v>-</v>
      </c>
      <c r="W75" s="136" t="str">
        <f>IF(Åtgärdslista32[[#This Row],[Kolumn43]]&lt;&gt;"",Åtgärdslista32[[#This Row],[Kolumn5]],"-")</f>
        <v>-</v>
      </c>
    </row>
  </sheetData>
  <sheetProtection insertRows="0" sort="0" autoFilter="0"/>
  <mergeCells count="9">
    <mergeCell ref="F14:F15"/>
    <mergeCell ref="B2:E2"/>
    <mergeCell ref="F5:F6"/>
    <mergeCell ref="L12:O12"/>
    <mergeCell ref="J14:K14"/>
    <mergeCell ref="J15:K15"/>
    <mergeCell ref="G14:G15"/>
    <mergeCell ref="H14:H15"/>
    <mergeCell ref="I14:I15"/>
  </mergeCells>
  <conditionalFormatting sqref="B17:F75">
    <cfRule type="expression" dxfId="28" priority="16">
      <formula>$F17="Nej"</formula>
    </cfRule>
  </conditionalFormatting>
  <conditionalFormatting sqref="B63:D75">
    <cfRule type="expression" dxfId="27" priority="50">
      <formula>#REF!="Nej"</formula>
    </cfRule>
  </conditionalFormatting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F4D3E5D-697A-4208-B892-42E6C2891B16}">
          <x14:formula1>
            <xm:f>Data!$B$2:$B$3</xm:f>
          </x14:formula1>
          <xm:sqref>F17:F75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92A2C-EC7A-485D-AED5-A390517E2D33}">
  <sheetPr>
    <tabColor theme="4" tint="0.59999389629810485"/>
  </sheetPr>
  <dimension ref="C2:D23"/>
  <sheetViews>
    <sheetView workbookViewId="0">
      <selection activeCell="H24" sqref="H24"/>
    </sheetView>
  </sheetViews>
  <sheetFormatPr defaultRowHeight="14.4" x14ac:dyDescent="0.3"/>
  <cols>
    <col min="3" max="3" width="17.5546875" customWidth="1"/>
    <col min="4" max="4" width="10.5546875" bestFit="1" customWidth="1"/>
  </cols>
  <sheetData>
    <row r="2" spans="3:4" x14ac:dyDescent="0.3">
      <c r="C2" s="176" t="s">
        <v>46</v>
      </c>
      <c r="D2" s="176" t="s">
        <v>123</v>
      </c>
    </row>
    <row r="3" spans="3:4" x14ac:dyDescent="0.3">
      <c r="C3" s="173" t="s">
        <v>119</v>
      </c>
      <c r="D3" s="174">
        <v>2</v>
      </c>
    </row>
    <row r="4" spans="3:4" x14ac:dyDescent="0.3">
      <c r="C4" s="173" t="s">
        <v>88</v>
      </c>
      <c r="D4" s="174">
        <v>20</v>
      </c>
    </row>
    <row r="5" spans="3:4" x14ac:dyDescent="0.3">
      <c r="C5" s="173" t="s">
        <v>87</v>
      </c>
      <c r="D5" s="174">
        <v>20</v>
      </c>
    </row>
    <row r="6" spans="3:4" x14ac:dyDescent="0.3">
      <c r="C6" s="173" t="s">
        <v>120</v>
      </c>
      <c r="D6" s="174">
        <v>30</v>
      </c>
    </row>
    <row r="7" spans="3:4" x14ac:dyDescent="0.3">
      <c r="C7" s="173" t="s">
        <v>121</v>
      </c>
      <c r="D7" s="174">
        <v>10</v>
      </c>
    </row>
    <row r="8" spans="3:4" x14ac:dyDescent="0.3">
      <c r="C8" s="173" t="s">
        <v>89</v>
      </c>
      <c r="D8" s="174">
        <v>15</v>
      </c>
    </row>
    <row r="9" spans="3:4" x14ac:dyDescent="0.3">
      <c r="C9" s="173" t="s">
        <v>122</v>
      </c>
      <c r="D9" s="174">
        <v>10</v>
      </c>
    </row>
    <row r="10" spans="3:4" x14ac:dyDescent="0.3">
      <c r="C10" s="175" t="s">
        <v>70</v>
      </c>
      <c r="D10" s="174">
        <v>10</v>
      </c>
    </row>
    <row r="11" spans="3:4" x14ac:dyDescent="0.3">
      <c r="C11" s="175" t="s">
        <v>86</v>
      </c>
      <c r="D11" s="174">
        <v>15</v>
      </c>
    </row>
    <row r="12" spans="3:4" x14ac:dyDescent="0.3">
      <c r="C12" s="175" t="s">
        <v>43</v>
      </c>
      <c r="D12" s="174">
        <v>15</v>
      </c>
    </row>
    <row r="13" spans="3:4" x14ac:dyDescent="0.3">
      <c r="C13" s="175"/>
      <c r="D13" s="175"/>
    </row>
    <row r="14" spans="3:4" x14ac:dyDescent="0.3">
      <c r="C14" s="175"/>
      <c r="D14" s="175"/>
    </row>
    <row r="15" spans="3:4" x14ac:dyDescent="0.3">
      <c r="C15" s="175"/>
      <c r="D15" s="175"/>
    </row>
    <row r="16" spans="3:4" x14ac:dyDescent="0.3">
      <c r="C16" s="175"/>
      <c r="D16" s="175"/>
    </row>
    <row r="17" spans="3:4" x14ac:dyDescent="0.3">
      <c r="C17" s="175"/>
      <c r="D17" s="175"/>
    </row>
    <row r="18" spans="3:4" x14ac:dyDescent="0.3">
      <c r="C18" s="175"/>
      <c r="D18" s="175"/>
    </row>
    <row r="19" spans="3:4" x14ac:dyDescent="0.3">
      <c r="C19" s="175"/>
      <c r="D19" s="175"/>
    </row>
    <row r="20" spans="3:4" x14ac:dyDescent="0.3">
      <c r="C20" s="175"/>
      <c r="D20" s="175"/>
    </row>
    <row r="21" spans="3:4" x14ac:dyDescent="0.3">
      <c r="C21" s="175"/>
      <c r="D21" s="175"/>
    </row>
    <row r="22" spans="3:4" x14ac:dyDescent="0.3">
      <c r="C22" s="175"/>
      <c r="D22" s="175"/>
    </row>
    <row r="23" spans="3:4" x14ac:dyDescent="0.3">
      <c r="C23" s="175"/>
      <c r="D23" s="175"/>
    </row>
  </sheetData>
  <protectedRanges>
    <protectedRange sqref="C3:D9" name="Tillåt"/>
  </protectedRanges>
  <conditionalFormatting sqref="D3:D8 D10:D12">
    <cfRule type="expression" dxfId="0" priority="1">
      <formula>$F3="Nej"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6CE01-807E-481F-8286-243C1EE6B688}">
  <sheetPr>
    <tabColor theme="0" tint="-0.14999847407452621"/>
  </sheetPr>
  <dimension ref="B3:C12"/>
  <sheetViews>
    <sheetView showGridLines="0" workbookViewId="0">
      <selection activeCell="H13" sqref="H13"/>
    </sheetView>
  </sheetViews>
  <sheetFormatPr defaultRowHeight="14.4" x14ac:dyDescent="0.3"/>
  <cols>
    <col min="2" max="2" width="8.88671875" style="198"/>
  </cols>
  <sheetData>
    <row r="3" spans="2:3" x14ac:dyDescent="0.3">
      <c r="B3" s="198" t="s">
        <v>131</v>
      </c>
      <c r="C3" t="s">
        <v>132</v>
      </c>
    </row>
    <row r="4" spans="2:3" x14ac:dyDescent="0.3">
      <c r="C4" t="s">
        <v>136</v>
      </c>
    </row>
    <row r="5" spans="2:3" x14ac:dyDescent="0.3">
      <c r="C5" t="s">
        <v>135</v>
      </c>
    </row>
    <row r="7" spans="2:3" x14ac:dyDescent="0.3">
      <c r="B7" s="198" t="s">
        <v>134</v>
      </c>
      <c r="C7" t="s">
        <v>137</v>
      </c>
    </row>
    <row r="9" spans="2:3" x14ac:dyDescent="0.3">
      <c r="B9" s="198" t="s">
        <v>138</v>
      </c>
      <c r="C9" t="s">
        <v>139</v>
      </c>
    </row>
    <row r="12" spans="2:3" x14ac:dyDescent="0.3">
      <c r="C1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127E5-7875-4C5B-BE51-4BA858E6F2F0}">
  <dimension ref="C6:L15"/>
  <sheetViews>
    <sheetView showGridLines="0" zoomScale="85" zoomScaleNormal="85" workbookViewId="0">
      <selection activeCell="H14" sqref="H14"/>
    </sheetView>
  </sheetViews>
  <sheetFormatPr defaultRowHeight="14.4" x14ac:dyDescent="0.3"/>
  <cols>
    <col min="3" max="3" width="11.5546875" bestFit="1" customWidth="1"/>
    <col min="7" max="7" width="49.109375" customWidth="1"/>
    <col min="8" max="8" width="24.33203125" customWidth="1"/>
    <col min="9" max="9" width="22" customWidth="1"/>
    <col min="10" max="10" width="17.33203125" customWidth="1"/>
    <col min="11" max="11" width="19.109375" customWidth="1"/>
    <col min="12" max="12" width="15.6640625" customWidth="1"/>
  </cols>
  <sheetData>
    <row r="6" spans="3:12" ht="15" thickBot="1" x14ac:dyDescent="0.35"/>
    <row r="7" spans="3:12" ht="23.4" x14ac:dyDescent="0.45">
      <c r="C7" s="262"/>
      <c r="D7" s="263"/>
      <c r="E7" s="263"/>
      <c r="F7" s="264"/>
      <c r="G7" s="265" t="s">
        <v>40</v>
      </c>
      <c r="H7" s="266"/>
      <c r="I7" s="266"/>
      <c r="J7" s="266"/>
      <c r="K7" s="266"/>
      <c r="L7" s="267"/>
    </row>
    <row r="8" spans="3:12" ht="23.4" x14ac:dyDescent="0.45">
      <c r="C8" s="92"/>
      <c r="D8" s="93"/>
      <c r="E8" s="93"/>
      <c r="F8" s="94"/>
      <c r="G8" s="95"/>
      <c r="H8" s="96"/>
      <c r="I8" s="268" t="s">
        <v>37</v>
      </c>
      <c r="J8" s="270" t="s">
        <v>33</v>
      </c>
      <c r="K8" s="97"/>
      <c r="L8" s="98"/>
    </row>
    <row r="9" spans="3:12" ht="24" thickBot="1" x14ac:dyDescent="0.5">
      <c r="C9" s="92"/>
      <c r="D9" s="93"/>
      <c r="E9" s="93"/>
      <c r="F9" s="94"/>
      <c r="G9" s="95"/>
      <c r="H9" s="99"/>
      <c r="I9" s="269"/>
      <c r="J9" s="271"/>
      <c r="K9" s="97"/>
      <c r="L9" s="98"/>
    </row>
    <row r="10" spans="3:12" ht="23.4" x14ac:dyDescent="0.45">
      <c r="C10" s="92"/>
      <c r="D10" s="93"/>
      <c r="E10" s="93"/>
      <c r="F10" s="94"/>
      <c r="G10" s="272" t="s">
        <v>59</v>
      </c>
      <c r="H10" s="274" t="s">
        <v>60</v>
      </c>
      <c r="I10" s="276" t="s">
        <v>57</v>
      </c>
      <c r="J10" s="278" t="s">
        <v>58</v>
      </c>
      <c r="K10" s="280" t="s">
        <v>6</v>
      </c>
      <c r="L10" s="100" t="s">
        <v>51</v>
      </c>
    </row>
    <row r="11" spans="3:12" ht="24" thickBot="1" x14ac:dyDescent="0.5">
      <c r="C11" s="92"/>
      <c r="D11" s="101" t="s">
        <v>49</v>
      </c>
      <c r="E11" s="102">
        <v>0.05</v>
      </c>
      <c r="F11" s="94"/>
      <c r="G11" s="273"/>
      <c r="H11" s="275"/>
      <c r="I11" s="277"/>
      <c r="J11" s="279"/>
      <c r="K11" s="281"/>
      <c r="L11" s="103" t="s">
        <v>110</v>
      </c>
    </row>
    <row r="12" spans="3:12" ht="23.4" x14ac:dyDescent="0.45">
      <c r="C12" s="92"/>
      <c r="D12" s="101" t="s">
        <v>50</v>
      </c>
      <c r="E12" s="104">
        <v>0.03</v>
      </c>
      <c r="F12" s="94"/>
      <c r="G12" s="116" t="str">
        <f>'Åtgärdslista Nuvärde'!F7</f>
        <v>Paket 1</v>
      </c>
      <c r="H12" s="117">
        <f>'Åtgärdslista Nuvärde'!G7</f>
        <v>10</v>
      </c>
      <c r="I12" s="105">
        <f>'Åtgärdslista Nuvärde'!H7</f>
        <v>168.24699999999996</v>
      </c>
      <c r="J12" s="105">
        <f>'Åtgärdslista Nuvärde'!I7</f>
        <v>2358.4</v>
      </c>
      <c r="K12" s="106">
        <f>'Åtgärdslista Nuvärde'!J7</f>
        <v>14.017486195890569</v>
      </c>
      <c r="L12" s="107">
        <f>'Åtgärdslista Nuvärde'!K7</f>
        <v>-923.21896332097799</v>
      </c>
    </row>
    <row r="13" spans="3:12" ht="23.4" x14ac:dyDescent="0.45">
      <c r="C13" s="92"/>
      <c r="D13" s="93"/>
      <c r="E13" s="101"/>
      <c r="F13" s="101"/>
      <c r="G13" s="116" t="str">
        <f>'Åtgärdslista Nuvärde'!F8</f>
        <v>Paket 2</v>
      </c>
      <c r="H13" s="118">
        <f>'Åtgärdslista Nuvärde'!G8</f>
        <v>15</v>
      </c>
      <c r="I13" s="105">
        <f>'Åtgärdslista Nuvärde'!H8</f>
        <v>168.67899999999997</v>
      </c>
      <c r="J13" s="105">
        <f>'Åtgärdslista Nuvärde'!I8</f>
        <v>168.67899999999997</v>
      </c>
      <c r="K13" s="106">
        <f>'Åtgärdslista Nuvärde'!J8</f>
        <v>1</v>
      </c>
      <c r="L13" s="107">
        <f>'Åtgärdslista Nuvärde'!K8</f>
        <v>1844.9999525023013</v>
      </c>
    </row>
    <row r="14" spans="3:12" ht="23.4" x14ac:dyDescent="0.45">
      <c r="C14" s="92"/>
      <c r="D14" s="93"/>
      <c r="E14" s="108"/>
      <c r="F14" s="109"/>
      <c r="G14" s="116" t="str">
        <f>'Åtgärdslista Nuvärde'!F9</f>
        <v>Paket 4</v>
      </c>
      <c r="H14" s="118">
        <f>'Åtgärdslista Nuvärde'!G9</f>
        <v>15</v>
      </c>
      <c r="I14" s="105">
        <f>'Åtgärdslista Nuvärde'!H9</f>
        <v>272.9729999999999</v>
      </c>
      <c r="J14" s="105">
        <f>'Åtgärdslista Nuvärde'!I9</f>
        <v>272.9729999999999</v>
      </c>
      <c r="K14" s="106">
        <f>'Åtgärdslista Nuvärde'!J9</f>
        <v>1</v>
      </c>
      <c r="L14" s="107">
        <f>'Åtgärdslista Nuvärde'!K9</f>
        <v>2985.760954442525</v>
      </c>
    </row>
    <row r="15" spans="3:12" ht="24" thickBot="1" x14ac:dyDescent="0.5">
      <c r="C15" s="110"/>
      <c r="D15" s="111"/>
      <c r="E15" s="111"/>
      <c r="F15" s="112"/>
      <c r="G15" s="119" t="str">
        <f>'Åtgärdslista Nuvärde'!F10</f>
        <v>Paket 4</v>
      </c>
      <c r="H15" s="120">
        <f>'Åtgärdslista Nuvärde'!G10</f>
        <v>15</v>
      </c>
      <c r="I15" s="113">
        <f>'Åtgärdslista Nuvärde'!H10</f>
        <v>894</v>
      </c>
      <c r="J15" s="113">
        <f>'Åtgärdslista Nuvärde'!I10</f>
        <v>81.953999999999979</v>
      </c>
      <c r="K15" s="114">
        <f>'Åtgärdslista Nuvärde'!J10</f>
        <v>9.1671140939597287E-2</v>
      </c>
      <c r="L15" s="115">
        <f>'Åtgärdslista Nuvärde'!K10</f>
        <v>10590.559967577812</v>
      </c>
    </row>
  </sheetData>
  <mergeCells count="9">
    <mergeCell ref="C7:F7"/>
    <mergeCell ref="G7:L7"/>
    <mergeCell ref="I8:I9"/>
    <mergeCell ref="J8:J9"/>
    <mergeCell ref="G10:G11"/>
    <mergeCell ref="H10:H11"/>
    <mergeCell ref="I10:I11"/>
    <mergeCell ref="J10:J11"/>
    <mergeCell ref="K10:K11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C506-D0A3-4362-B7F8-48A24DBAEF7E}">
  <dimension ref="B2:BB17"/>
  <sheetViews>
    <sheetView workbookViewId="0">
      <selection activeCell="B2" sqref="B2:B3"/>
    </sheetView>
  </sheetViews>
  <sheetFormatPr defaultRowHeight="14.4" x14ac:dyDescent="0.3"/>
  <cols>
    <col min="5" max="5" width="10.5546875" bestFit="1" customWidth="1"/>
    <col min="6" max="6" width="11" bestFit="1" customWidth="1"/>
    <col min="34" max="34" width="11" bestFit="1" customWidth="1"/>
  </cols>
  <sheetData>
    <row r="2" spans="2:54" x14ac:dyDescent="0.3">
      <c r="B2" s="43" t="s">
        <v>26</v>
      </c>
    </row>
    <row r="3" spans="2:54" x14ac:dyDescent="0.3">
      <c r="B3" s="44" t="s">
        <v>27</v>
      </c>
      <c r="E3" t="s">
        <v>62</v>
      </c>
      <c r="F3">
        <v>700</v>
      </c>
      <c r="G3" t="s">
        <v>44</v>
      </c>
    </row>
    <row r="4" spans="2:54" x14ac:dyDescent="0.3">
      <c r="E4" t="s">
        <v>61</v>
      </c>
      <c r="F4" s="71">
        <f>'Åtgärdslista Nuvärde'!I7</f>
        <v>2358.4</v>
      </c>
      <c r="H4">
        <f>F4/15</f>
        <v>157.22666666666666</v>
      </c>
    </row>
    <row r="5" spans="2:54" x14ac:dyDescent="0.3">
      <c r="E5" t="s">
        <v>64</v>
      </c>
      <c r="F5" s="71">
        <f>'Åtgärdslista Nuvärde'!H7</f>
        <v>168.24699999999996</v>
      </c>
    </row>
    <row r="6" spans="2:54" x14ac:dyDescent="0.3">
      <c r="E6">
        <v>1</v>
      </c>
      <c r="F6">
        <v>2</v>
      </c>
      <c r="G6">
        <v>3</v>
      </c>
      <c r="H6">
        <v>4</v>
      </c>
      <c r="I6">
        <v>5</v>
      </c>
      <c r="J6">
        <v>6</v>
      </c>
      <c r="K6">
        <v>7</v>
      </c>
      <c r="L6">
        <v>8</v>
      </c>
      <c r="M6">
        <v>9</v>
      </c>
      <c r="N6">
        <v>10</v>
      </c>
      <c r="O6">
        <v>11</v>
      </c>
      <c r="P6">
        <v>12</v>
      </c>
      <c r="Q6">
        <v>13</v>
      </c>
      <c r="R6">
        <v>14</v>
      </c>
      <c r="S6">
        <v>15</v>
      </c>
      <c r="T6">
        <v>16</v>
      </c>
      <c r="U6">
        <v>17</v>
      </c>
      <c r="V6">
        <v>18</v>
      </c>
      <c r="W6">
        <v>19</v>
      </c>
      <c r="X6">
        <v>20</v>
      </c>
      <c r="Y6">
        <v>21</v>
      </c>
      <c r="Z6">
        <v>22</v>
      </c>
      <c r="AA6">
        <v>23</v>
      </c>
      <c r="AB6">
        <v>24</v>
      </c>
      <c r="AC6">
        <v>25</v>
      </c>
      <c r="AD6">
        <v>26</v>
      </c>
      <c r="AE6">
        <v>27</v>
      </c>
      <c r="AF6">
        <v>28</v>
      </c>
      <c r="AG6">
        <v>29</v>
      </c>
      <c r="AH6">
        <v>30</v>
      </c>
      <c r="AI6">
        <v>31</v>
      </c>
      <c r="AJ6">
        <v>32</v>
      </c>
      <c r="AK6">
        <v>33</v>
      </c>
      <c r="AL6">
        <v>34</v>
      </c>
      <c r="AM6">
        <v>35</v>
      </c>
      <c r="AN6">
        <v>36</v>
      </c>
      <c r="AO6">
        <v>37</v>
      </c>
      <c r="AP6">
        <v>38</v>
      </c>
      <c r="AQ6">
        <v>39</v>
      </c>
      <c r="AR6">
        <v>40</v>
      </c>
      <c r="AS6">
        <v>41</v>
      </c>
      <c r="AT6">
        <v>42</v>
      </c>
      <c r="AU6">
        <v>43</v>
      </c>
      <c r="AV6">
        <v>44</v>
      </c>
      <c r="AW6">
        <v>45</v>
      </c>
      <c r="AX6">
        <v>46</v>
      </c>
      <c r="AY6">
        <v>47</v>
      </c>
      <c r="AZ6">
        <v>48</v>
      </c>
      <c r="BA6">
        <v>49</v>
      </c>
      <c r="BB6">
        <v>50</v>
      </c>
    </row>
    <row r="7" spans="2:54" x14ac:dyDescent="0.3">
      <c r="C7" t="s">
        <v>56</v>
      </c>
      <c r="D7" t="str">
        <f>IF('Åtgärdslista Nuvärde'!F7&lt;&gt;"",'Åtgärdslista Nuvärde'!F7,"")</f>
        <v>Paket 1</v>
      </c>
      <c r="E7" s="57">
        <f>IFERROR(IF(E$6&lt;='Åtgärdslista Nuvärde'!$G7,-PV('Åtgärdslista Nuvärde'!$D$6-'Åtgärdslista Nuvärde'!$D$7,E$6,'Åtgärdslista Nuvärde'!$H7)-'Åtgärdslista Nuvärde'!$I7,""),"")</f>
        <v>-2195.0533980582522</v>
      </c>
      <c r="F7" s="57">
        <f>IFERROR(IF(F$6&lt;='Åtgärdslista Nuvärde'!$G7,-PV('Åtgärdslista Nuvärde'!$D$6-'Åtgärdslista Nuvärde'!$D$7,F$6,'Åtgärdslista Nuvärde'!$H7)-'Åtgärdslista Nuvärde'!$I7,""),"")</f>
        <v>-2036.4644641342261</v>
      </c>
      <c r="G7" s="57">
        <f>IFERROR(IF(G$6&lt;='Åtgärdslista Nuvärde'!$G7,-PV('Åtgärdslista Nuvärde'!$D$6-'Åtgärdslista Nuvärde'!$D$7,G$6,'Åtgärdslista Nuvärde'!$H7)-'Åtgärdslista Nuvärde'!$I7,""),"")</f>
        <v>-1882.494625373035</v>
      </c>
      <c r="H7" s="57">
        <f>IFERROR(IF(H$6&lt;='Åtgärdslista Nuvärde'!$G7,-PV('Åtgärdslista Nuvärde'!$D$6-'Åtgärdslista Nuvärde'!$D$7,H$6,'Åtgärdslista Nuvärde'!$H7)-'Åtgärdslista Nuvärde'!$I7,""),"")</f>
        <v>-1733.0093450223644</v>
      </c>
      <c r="I7" s="57">
        <f>IFERROR(IF(I$6&lt;='Åtgärdslista Nuvärde'!$G7,-PV('Åtgärdslista Nuvärde'!$D$6-'Åtgärdslista Nuvärde'!$D$7,I$6,'Åtgärdslista Nuvärde'!$H7)-'Åtgärdslista Nuvärde'!$I7,""),"")</f>
        <v>-1587.8780048760823</v>
      </c>
      <c r="J7" s="57">
        <f>IFERROR(IF(J$6&lt;='Åtgärdslista Nuvärde'!$G7,-PV('Åtgärdslista Nuvärde'!$D$6-'Åtgärdslista Nuvärde'!$D$7,J$6,'Åtgärdslista Nuvärde'!$H7)-'Åtgärdslista Nuvärde'!$I7,""),"")</f>
        <v>-1446.9737911418272</v>
      </c>
      <c r="K7" s="57">
        <f>IFERROR(IF(K$6&lt;='Åtgärdslista Nuvärde'!$G7,-PV('Åtgärdslista Nuvärde'!$D$6-'Åtgärdslista Nuvärde'!$D$7,K$6,'Åtgärdslista Nuvärde'!$H7)-'Åtgärdslista Nuvärde'!$I7,""),"")</f>
        <v>-1310.1735836328417</v>
      </c>
      <c r="L7" s="57">
        <f>IFERROR(IF(L$6&lt;='Åtgärdslista Nuvärde'!$G7,-PV('Åtgärdslista Nuvärde'!$D$6-'Åtgärdslista Nuvärde'!$D$7,L$6,'Åtgärdslista Nuvärde'!$H7)-'Åtgärdslista Nuvärde'!$I7,""),"")</f>
        <v>-1177.3578481872257</v>
      </c>
      <c r="M7" s="57">
        <f>IFERROR(IF(M$6&lt;='Åtgärdslista Nuvärde'!$G7,-PV('Åtgärdslista Nuvärde'!$D$6-'Åtgärdslista Nuvärde'!$D$7,M$6,'Åtgärdslista Nuvärde'!$H7)-'Åtgärdslista Nuvärde'!$I7,""),"")</f>
        <v>-1048.4105322206071</v>
      </c>
      <c r="N7" s="57">
        <f>IFERROR(IF(N$6&lt;='Åtgärdslista Nuvärde'!$G7,-PV('Åtgärdslista Nuvärde'!$D$6-'Åtgärdslista Nuvärde'!$D$7,N$6,'Åtgärdslista Nuvärde'!$H7)-'Åtgärdslista Nuvärde'!$I7,""),"")</f>
        <v>-923.21896332097799</v>
      </c>
      <c r="O7" s="57" t="str">
        <f>IFERROR(IF(O$6&lt;='Åtgärdslista Nuvärde'!$G7,-PV('Åtgärdslista Nuvärde'!$D$6-'Åtgärdslista Nuvärde'!$D$7,O$6,'Åtgärdslista Nuvärde'!$H7)-'Åtgärdslista Nuvärde'!$I7,""),"")</f>
        <v/>
      </c>
      <c r="P7" s="57" t="str">
        <f>IFERROR(IF(P$6&lt;='Åtgärdslista Nuvärde'!$G7,-PV('Åtgärdslista Nuvärde'!$D$6-'Åtgärdslista Nuvärde'!$D$7,P$6,'Åtgärdslista Nuvärde'!$H7)-'Åtgärdslista Nuvärde'!$I7,""),"")</f>
        <v/>
      </c>
      <c r="Q7" s="57" t="str">
        <f>IFERROR(IF(Q$6&lt;='Åtgärdslista Nuvärde'!$G7,-PV('Åtgärdslista Nuvärde'!$D$6-'Åtgärdslista Nuvärde'!$D$7,Q$6,'Åtgärdslista Nuvärde'!$H7)-'Åtgärdslista Nuvärde'!$I7,""),"")</f>
        <v/>
      </c>
      <c r="R7" s="57" t="str">
        <f>IFERROR(IF(R$6&lt;='Åtgärdslista Nuvärde'!$G7,-PV('Åtgärdslista Nuvärde'!$D$6-'Åtgärdslista Nuvärde'!$D$7,R$6,'Åtgärdslista Nuvärde'!$H7)-'Åtgärdslista Nuvärde'!$I7,""),"")</f>
        <v/>
      </c>
      <c r="S7" s="57" t="str">
        <f>IFERROR(IF(S$6&lt;='Åtgärdslista Nuvärde'!$G7,-PV('Åtgärdslista Nuvärde'!$D$6-'Åtgärdslista Nuvärde'!$D$7,S$6,'Åtgärdslista Nuvärde'!$H7)-'Åtgärdslista Nuvärde'!$I7,""),"")</f>
        <v/>
      </c>
      <c r="T7" s="57" t="str">
        <f>IFERROR(IF(T$6&lt;='Åtgärdslista Nuvärde'!$G7,-PV('Åtgärdslista Nuvärde'!$D$6-'Åtgärdslista Nuvärde'!$D$7,T$6,'Åtgärdslista Nuvärde'!$H7)-'Åtgärdslista Nuvärde'!$I7,""),"")</f>
        <v/>
      </c>
      <c r="U7" s="57" t="str">
        <f>IFERROR(IF(U$6&lt;='Åtgärdslista Nuvärde'!$G7,-PV('Åtgärdslista Nuvärde'!$D$6-'Åtgärdslista Nuvärde'!$D$7,U$6,'Åtgärdslista Nuvärde'!$H7)-'Åtgärdslista Nuvärde'!$I7,""),"")</f>
        <v/>
      </c>
      <c r="V7" s="57" t="str">
        <f>IFERROR(IF(V$6&lt;='Åtgärdslista Nuvärde'!$G7,-PV('Åtgärdslista Nuvärde'!$D$6-'Åtgärdslista Nuvärde'!$D$7,V$6,'Åtgärdslista Nuvärde'!$H7)-'Åtgärdslista Nuvärde'!$I7,""),"")</f>
        <v/>
      </c>
      <c r="W7" s="57" t="str">
        <f>IFERROR(IF(W$6&lt;='Åtgärdslista Nuvärde'!$G7,-PV('Åtgärdslista Nuvärde'!$D$6-'Åtgärdslista Nuvärde'!$D$7,W$6,'Åtgärdslista Nuvärde'!$H7)-'Åtgärdslista Nuvärde'!$I7,""),"")</f>
        <v/>
      </c>
      <c r="X7" s="57" t="str">
        <f>IFERROR(IF(X$6&lt;='Åtgärdslista Nuvärde'!$G7,-PV('Åtgärdslista Nuvärde'!$D$6-'Åtgärdslista Nuvärde'!$D$7,X$6,'Åtgärdslista Nuvärde'!$H7)-'Åtgärdslista Nuvärde'!$I7,""),"")</f>
        <v/>
      </c>
      <c r="Y7" s="57" t="str">
        <f>IFERROR(IF(Y$6&lt;='Åtgärdslista Nuvärde'!$G7,-PV('Åtgärdslista Nuvärde'!$D$6-'Åtgärdslista Nuvärde'!$D$7,Y$6,'Åtgärdslista Nuvärde'!$H7)-'Åtgärdslista Nuvärde'!$I7,""),"")</f>
        <v/>
      </c>
      <c r="Z7" s="57" t="str">
        <f>IFERROR(IF(Z$6&lt;='Åtgärdslista Nuvärde'!$G7,-PV('Åtgärdslista Nuvärde'!$D$6-'Åtgärdslista Nuvärde'!$D$7,Z$6,'Åtgärdslista Nuvärde'!$H7)-'Åtgärdslista Nuvärde'!$I7,""),"")</f>
        <v/>
      </c>
      <c r="AA7" s="57" t="str">
        <f>IFERROR(IF(AA$6&lt;='Åtgärdslista Nuvärde'!$G7,-PV('Åtgärdslista Nuvärde'!$D$6-'Åtgärdslista Nuvärde'!$D$7,AA$6,'Åtgärdslista Nuvärde'!$H7)-'Åtgärdslista Nuvärde'!$I7,""),"")</f>
        <v/>
      </c>
      <c r="AB7" s="57" t="str">
        <f>IFERROR(IF(AB$6&lt;='Åtgärdslista Nuvärde'!$G7,-PV('Åtgärdslista Nuvärde'!$D$6-'Åtgärdslista Nuvärde'!$D$7,AB$6,'Åtgärdslista Nuvärde'!$H7)-'Åtgärdslista Nuvärde'!$I7,""),"")</f>
        <v/>
      </c>
      <c r="AC7" s="57" t="str">
        <f>IFERROR(IF(AC$6&lt;='Åtgärdslista Nuvärde'!$G7,-PV('Åtgärdslista Nuvärde'!$D$6-'Åtgärdslista Nuvärde'!$D$7,AC$6,'Åtgärdslista Nuvärde'!$H7)-'Åtgärdslista Nuvärde'!$I7,""),"")</f>
        <v/>
      </c>
      <c r="AD7" s="57" t="str">
        <f>IFERROR(IF(AD$6&lt;='Åtgärdslista Nuvärde'!$G7,-PV('Åtgärdslista Nuvärde'!$D$6-'Åtgärdslista Nuvärde'!$D$7,AD$6,'Åtgärdslista Nuvärde'!$H7)-'Åtgärdslista Nuvärde'!$I7,""),"")</f>
        <v/>
      </c>
      <c r="AE7" s="57" t="str">
        <f>IFERROR(IF(AE$6&lt;='Åtgärdslista Nuvärde'!$G7,-PV('Åtgärdslista Nuvärde'!$D$6-'Åtgärdslista Nuvärde'!$D$7,AE$6,'Åtgärdslista Nuvärde'!$H7)-'Åtgärdslista Nuvärde'!$I7,""),"")</f>
        <v/>
      </c>
      <c r="AF7" s="57" t="str">
        <f>IFERROR(IF(AF$6&lt;='Åtgärdslista Nuvärde'!$G7,-PV('Åtgärdslista Nuvärde'!$D$6-'Åtgärdslista Nuvärde'!$D$7,AF$6,'Åtgärdslista Nuvärde'!$H7)-'Åtgärdslista Nuvärde'!$I7,""),"")</f>
        <v/>
      </c>
      <c r="AG7" s="57" t="str">
        <f>IFERROR(IF(AG$6&lt;='Åtgärdslista Nuvärde'!$G7,-PV('Åtgärdslista Nuvärde'!$D$6-'Åtgärdslista Nuvärde'!$D$7,AG$6,'Åtgärdslista Nuvärde'!$H7)-'Åtgärdslista Nuvärde'!$I7,""),"")</f>
        <v/>
      </c>
      <c r="AH7" s="57" t="str">
        <f>IFERROR(IF(AH$6&lt;='Åtgärdslista Nuvärde'!$G7,-PV('Åtgärdslista Nuvärde'!$D$6-'Åtgärdslista Nuvärde'!$D$7,AH$6,'Åtgärdslista Nuvärde'!$H7)-'Åtgärdslista Nuvärde'!$I7,""),"")</f>
        <v/>
      </c>
      <c r="AI7" s="57" t="str">
        <f>IFERROR(IF(AI$6&lt;='Åtgärdslista Nuvärde'!$G7,-PV('Åtgärdslista Nuvärde'!$D$6-'Åtgärdslista Nuvärde'!$D$7,AI$6,'Åtgärdslista Nuvärde'!$H7)-'Åtgärdslista Nuvärde'!$I7,""),"")</f>
        <v/>
      </c>
      <c r="AJ7" s="57" t="str">
        <f>IFERROR(IF(AJ$6&lt;='Åtgärdslista Nuvärde'!$G7,-PV('Åtgärdslista Nuvärde'!$D$6-'Åtgärdslista Nuvärde'!$D$7,AJ$6,'Åtgärdslista Nuvärde'!$H7)-'Åtgärdslista Nuvärde'!$I7,""),"")</f>
        <v/>
      </c>
      <c r="AK7" s="57" t="str">
        <f>IFERROR(IF(AK$6&lt;='Åtgärdslista Nuvärde'!$G7,-PV('Åtgärdslista Nuvärde'!$D$6-'Åtgärdslista Nuvärde'!$D$7,AK$6,'Åtgärdslista Nuvärde'!$H7)-'Åtgärdslista Nuvärde'!$I7,""),"")</f>
        <v/>
      </c>
      <c r="AL7" s="57" t="str">
        <f>IFERROR(IF(AL$6&lt;='Åtgärdslista Nuvärde'!$G7,-PV('Åtgärdslista Nuvärde'!$D$6-'Åtgärdslista Nuvärde'!$D$7,AL$6,'Åtgärdslista Nuvärde'!$H7)-'Åtgärdslista Nuvärde'!$I7,""),"")</f>
        <v/>
      </c>
      <c r="AM7" s="57" t="str">
        <f>IFERROR(IF(AM$6&lt;='Åtgärdslista Nuvärde'!$G7,-PV('Åtgärdslista Nuvärde'!$D$6-'Åtgärdslista Nuvärde'!$D$7,AM$6,'Åtgärdslista Nuvärde'!$H7)-'Åtgärdslista Nuvärde'!$I7,""),"")</f>
        <v/>
      </c>
      <c r="AN7" s="57" t="str">
        <f>IFERROR(IF(AN$6&lt;='Åtgärdslista Nuvärde'!$G7,-PV('Åtgärdslista Nuvärde'!$D$6-'Åtgärdslista Nuvärde'!$D$7,AN$6,'Åtgärdslista Nuvärde'!$H7)-'Åtgärdslista Nuvärde'!$I7,""),"")</f>
        <v/>
      </c>
      <c r="AO7" s="57" t="str">
        <f>IFERROR(IF(AO$6&lt;='Åtgärdslista Nuvärde'!$G7,-PV('Åtgärdslista Nuvärde'!$D$6-'Åtgärdslista Nuvärde'!$D$7,AO$6,'Åtgärdslista Nuvärde'!$H7)-'Åtgärdslista Nuvärde'!$I7,""),"")</f>
        <v/>
      </c>
      <c r="AP7" s="57" t="str">
        <f>IFERROR(IF(AP$6&lt;='Åtgärdslista Nuvärde'!$G7,-PV('Åtgärdslista Nuvärde'!$D$6-'Åtgärdslista Nuvärde'!$D$7,AP$6,'Åtgärdslista Nuvärde'!$H7)-'Åtgärdslista Nuvärde'!$I7,""),"")</f>
        <v/>
      </c>
      <c r="AQ7" s="57" t="str">
        <f>IFERROR(IF(AQ$6&lt;='Åtgärdslista Nuvärde'!$G7,-PV('Åtgärdslista Nuvärde'!$D$6-'Åtgärdslista Nuvärde'!$D$7,AQ$6,'Åtgärdslista Nuvärde'!$H7)-'Åtgärdslista Nuvärde'!$I7,""),"")</f>
        <v/>
      </c>
      <c r="AR7" s="57" t="str">
        <f>IFERROR(IF(AR$6&lt;='Åtgärdslista Nuvärde'!$G7,-PV('Åtgärdslista Nuvärde'!$D$6-'Åtgärdslista Nuvärde'!$D$7,AR$6,'Åtgärdslista Nuvärde'!$H7)-'Åtgärdslista Nuvärde'!$I7,""),"")</f>
        <v/>
      </c>
      <c r="AS7" s="57" t="str">
        <f>IFERROR(IF(AS$6&lt;='Åtgärdslista Nuvärde'!$G7,-PV('Åtgärdslista Nuvärde'!$D$6-'Åtgärdslista Nuvärde'!$D$7,AS$6,'Åtgärdslista Nuvärde'!$H7)-'Åtgärdslista Nuvärde'!$I7,""),"")</f>
        <v/>
      </c>
      <c r="AT7" s="57" t="str">
        <f>IFERROR(IF(AT$6&lt;='Åtgärdslista Nuvärde'!$G7,-PV('Åtgärdslista Nuvärde'!$D$6-'Åtgärdslista Nuvärde'!$D$7,AT$6,'Åtgärdslista Nuvärde'!$H7)-'Åtgärdslista Nuvärde'!$I7,""),"")</f>
        <v/>
      </c>
      <c r="AU7" s="57" t="str">
        <f>IFERROR(IF(AU$6&lt;='Åtgärdslista Nuvärde'!$G7,-PV('Åtgärdslista Nuvärde'!$D$6-'Åtgärdslista Nuvärde'!$D$7,AU$6,'Åtgärdslista Nuvärde'!$H7)-'Åtgärdslista Nuvärde'!$I7,""),"")</f>
        <v/>
      </c>
      <c r="AV7" s="57" t="str">
        <f>IFERROR(IF(AV$6&lt;='Åtgärdslista Nuvärde'!$G7,-PV('Åtgärdslista Nuvärde'!$D$6-'Åtgärdslista Nuvärde'!$D$7,AV$6,'Åtgärdslista Nuvärde'!$H7)-'Åtgärdslista Nuvärde'!$I7,""),"")</f>
        <v/>
      </c>
      <c r="AW7" s="57" t="str">
        <f>IFERROR(IF(AW$6&lt;='Åtgärdslista Nuvärde'!$G7,-PV('Åtgärdslista Nuvärde'!$D$6-'Åtgärdslista Nuvärde'!$D$7,AW$6,'Åtgärdslista Nuvärde'!$H7)-'Åtgärdslista Nuvärde'!$I7,""),"")</f>
        <v/>
      </c>
      <c r="AX7" s="57" t="str">
        <f>IFERROR(IF(AX$6&lt;='Åtgärdslista Nuvärde'!$G7,-PV('Åtgärdslista Nuvärde'!$D$6-'Åtgärdslista Nuvärde'!$D$7,AX$6,'Åtgärdslista Nuvärde'!$H7)-'Åtgärdslista Nuvärde'!$I7,""),"")</f>
        <v/>
      </c>
      <c r="AY7" s="57" t="str">
        <f>IFERROR(IF(AY$6&lt;='Åtgärdslista Nuvärde'!$G7,-PV('Åtgärdslista Nuvärde'!$D$6-'Åtgärdslista Nuvärde'!$D$7,AY$6,'Åtgärdslista Nuvärde'!$H7)-'Åtgärdslista Nuvärde'!$I7,""),"")</f>
        <v/>
      </c>
      <c r="AZ7" s="57" t="str">
        <f>IFERROR(IF(AZ$6&lt;='Åtgärdslista Nuvärde'!$G7,-PV('Åtgärdslista Nuvärde'!$D$6-'Åtgärdslista Nuvärde'!$D$7,AZ$6,'Åtgärdslista Nuvärde'!$H7)-'Åtgärdslista Nuvärde'!$I7,""),"")</f>
        <v/>
      </c>
      <c r="BA7" s="57" t="str">
        <f>IFERROR(IF(BA$6&lt;='Åtgärdslista Nuvärde'!$G7,-PV('Åtgärdslista Nuvärde'!$D$6-'Åtgärdslista Nuvärde'!$D$7,BA$6,'Åtgärdslista Nuvärde'!$H7)-'Åtgärdslista Nuvärde'!$I7,""),"")</f>
        <v/>
      </c>
      <c r="BB7" s="57" t="str">
        <f>IFERROR(IF(BB$6&lt;='Åtgärdslista Nuvärde'!$G7,-PV('Åtgärdslista Nuvärde'!$D$6-'Åtgärdslista Nuvärde'!$D$7,BB$6,'Åtgärdslista Nuvärde'!$H7)-'Åtgärdslista Nuvärde'!$I7,""),"")</f>
        <v/>
      </c>
    </row>
    <row r="8" spans="2:54" x14ac:dyDescent="0.3">
      <c r="D8" t="str">
        <f>IF('Åtgärdslista Nuvärde'!F8&lt;&gt;"",'Åtgärdslista Nuvärde'!F8,"")</f>
        <v>Paket 2</v>
      </c>
      <c r="E8" s="57">
        <f>IFERROR(IF(E$6&lt;='Åtgärdslista Nuvärde'!$G8,-PV('Åtgärdslista Nuvärde'!$D$6-'Åtgärdslista Nuvärde'!$D$7,E$6,'Åtgärdslista Nuvärde'!$H8)-'Åtgärdslista Nuvärde'!$I8,""),"")</f>
        <v>-4.9129805825241419</v>
      </c>
      <c r="F8" s="57">
        <f>IFERROR(IF(F$6&lt;='Åtgärdslista Nuvärde'!$G8,-PV('Åtgärdslista Nuvärde'!$D$6-'Åtgärdslista Nuvärde'!$D$7,F$6,'Åtgärdslista Nuvärde'!$H8)-'Åtgärdslista Nuvärde'!$I8,""),"")</f>
        <v>154.08315477424804</v>
      </c>
      <c r="G8" s="57">
        <f>IFERROR(IF(G$6&lt;='Åtgärdslista Nuvärde'!$G8,-PV('Åtgärdslista Nuvärde'!$D$6-'Åtgärdslista Nuvärde'!$D$7,G$6,'Åtgärdslista Nuvärde'!$H8)-'Åtgärdslista Nuvärde'!$I8,""),"")</f>
        <v>308.44833473227987</v>
      </c>
      <c r="H8" s="57">
        <f>IFERROR(IF(H$6&lt;='Åtgärdslista Nuvärde'!$G8,-PV('Åtgärdslista Nuvärde'!$D$6-'Åtgärdslista Nuvärde'!$D$7,H$6,'Åtgärdslista Nuvärde'!$H8)-'Åtgärdslista Nuvärde'!$I8,""),"")</f>
        <v>458.31744148764983</v>
      </c>
      <c r="I8" s="57">
        <f>IFERROR(IF(I$6&lt;='Åtgärdslista Nuvärde'!$G8,-PV('Åtgärdslista Nuvärde'!$D$6-'Åtgärdslista Nuvärde'!$D$7,I$6,'Åtgärdslista Nuvärde'!$H8)-'Åtgärdslista Nuvärde'!$I8,""),"")</f>
        <v>603.82142862878595</v>
      </c>
      <c r="J8" s="57">
        <f>IFERROR(IF(J$6&lt;='Åtgärdslista Nuvärde'!$G8,-PV('Åtgärdslista Nuvärde'!$D$6-'Åtgärdslista Nuvärde'!$D$7,J$6,'Åtgärdslista Nuvärde'!$H8)-'Åtgärdslista Nuvärde'!$I8,""),"")</f>
        <v>745.08743556192837</v>
      </c>
      <c r="K8" s="57">
        <f>IFERROR(IF(K$6&lt;='Åtgärdslista Nuvärde'!$G8,-PV('Åtgärdslista Nuvärde'!$D$6-'Åtgärdslista Nuvärde'!$D$7,K$6,'Åtgärdslista Nuvärde'!$H8)-'Åtgärdslista Nuvärde'!$I8,""),"")</f>
        <v>882.23889860381416</v>
      </c>
      <c r="L8" s="57">
        <f>IFERROR(IF(L$6&lt;='Åtgärdslista Nuvärde'!$G8,-PV('Åtgärdslista Nuvärde'!$D$6-'Åtgärdslista Nuvärde'!$D$7,L$6,'Åtgärdslista Nuvärde'!$H8)-'Åtgärdslista Nuvärde'!$I8,""),"")</f>
        <v>1015.395658838654</v>
      </c>
      <c r="M8" s="57">
        <f>IFERROR(IF(M$6&lt;='Åtgärdslista Nuvärde'!$G8,-PV('Åtgärdslista Nuvärde'!$D$6-'Åtgärdslista Nuvärde'!$D$7,M$6,'Åtgärdslista Nuvärde'!$H8)-'Åtgärdslista Nuvärde'!$I8,""),"")</f>
        <v>1144.6740668336447</v>
      </c>
      <c r="N8" s="57">
        <f>IFERROR(IF(N$6&lt;='Åtgärdslista Nuvärde'!$G8,-PV('Åtgärdslista Nuvärde'!$D$6-'Åtgärdslista Nuvärde'!$D$7,N$6,'Åtgärdslista Nuvärde'!$H8)-'Åtgärdslista Nuvärde'!$I8,""),"")</f>
        <v>1270.1870843045094</v>
      </c>
      <c r="O8" s="57">
        <f>IFERROR(IF(O$6&lt;='Åtgärdslista Nuvärde'!$G8,-PV('Åtgärdslista Nuvärde'!$D$6-'Åtgärdslista Nuvärde'!$D$7,O$6,'Åtgärdslista Nuvärde'!$H8)-'Åtgärdslista Nuvärde'!$I8,""),"")</f>
        <v>1392.0443828199118</v>
      </c>
      <c r="P8" s="57">
        <f>IFERROR(IF(P$6&lt;='Åtgärdslista Nuvärde'!$G8,-PV('Åtgärdslista Nuvärde'!$D$6-'Åtgärdslista Nuvärde'!$D$7,P$6,'Åtgärdslista Nuvärde'!$H8)-'Åtgärdslista Nuvärde'!$I8,""),"")</f>
        <v>1510.3524396309822</v>
      </c>
      <c r="Q8" s="57">
        <f>IFERROR(IF(Q$6&lt;='Åtgärdslista Nuvärde'!$G8,-PV('Åtgärdslista Nuvärde'!$D$6-'Åtgärdslista Nuvärde'!$D$7,Q$6,'Åtgärdslista Nuvärde'!$H8)-'Åtgärdslista Nuvärde'!$I8,""),"")</f>
        <v>1625.2146307096914</v>
      </c>
      <c r="R8" s="57">
        <f>IFERROR(IF(R$6&lt;='Åtgärdslista Nuvärde'!$G8,-PV('Åtgärdslista Nuvärde'!$D$6-'Åtgärdslista Nuvärde'!$D$7,R$6,'Åtgärdslista Nuvärde'!$H8)-'Åtgärdslista Nuvärde'!$I8,""),"")</f>
        <v>1736.7313210773705</v>
      </c>
      <c r="S8" s="57">
        <f>IFERROR(IF(S$6&lt;='Åtgärdslista Nuvärde'!$G8,-PV('Åtgärdslista Nuvärde'!$D$6-'Åtgärdslista Nuvärde'!$D$7,S$6,'Åtgärdslista Nuvärde'!$H8)-'Åtgärdslista Nuvärde'!$I8,""),"")</f>
        <v>1844.9999525023013</v>
      </c>
      <c r="T8" s="57" t="str">
        <f>IFERROR(IF(T$6&lt;='Åtgärdslista Nuvärde'!$G8,-PV('Åtgärdslista Nuvärde'!$D$6-'Åtgärdslista Nuvärde'!$D$7,T$6,'Åtgärdslista Nuvärde'!$H8)-'Åtgärdslista Nuvärde'!$I8,""),"")</f>
        <v/>
      </c>
      <c r="U8" s="57" t="str">
        <f>IFERROR(IF(U$6&lt;='Åtgärdslista Nuvärde'!$G8,-PV('Åtgärdslista Nuvärde'!$D$6-'Åtgärdslista Nuvärde'!$D$7,U$6,'Åtgärdslista Nuvärde'!$H8)-'Åtgärdslista Nuvärde'!$I8,""),"")</f>
        <v/>
      </c>
      <c r="V8" s="57" t="str">
        <f>IFERROR(IF(V$6&lt;='Åtgärdslista Nuvärde'!$G8,-PV('Åtgärdslista Nuvärde'!$D$6-'Åtgärdslista Nuvärde'!$D$7,V$6,'Åtgärdslista Nuvärde'!$H8)-'Åtgärdslista Nuvärde'!$I8,""),"")</f>
        <v/>
      </c>
      <c r="W8" s="57" t="str">
        <f>IFERROR(IF(W$6&lt;='Åtgärdslista Nuvärde'!$G8,-PV('Åtgärdslista Nuvärde'!$D$6-'Åtgärdslista Nuvärde'!$D$7,W$6,'Åtgärdslista Nuvärde'!$H8)-'Åtgärdslista Nuvärde'!$I8,""),"")</f>
        <v/>
      </c>
      <c r="X8" s="57" t="str">
        <f>IFERROR(IF(X$6&lt;='Åtgärdslista Nuvärde'!$G8,-PV('Åtgärdslista Nuvärde'!$D$6-'Åtgärdslista Nuvärde'!$D$7,X$6,'Åtgärdslista Nuvärde'!$H8)-'Åtgärdslista Nuvärde'!$I8,""),"")</f>
        <v/>
      </c>
      <c r="Y8" s="57" t="str">
        <f>IFERROR(IF(Y$6&lt;='Åtgärdslista Nuvärde'!$G8,-PV('Åtgärdslista Nuvärde'!$D$6-'Åtgärdslista Nuvärde'!$D$7,Y$6,'Åtgärdslista Nuvärde'!$H8)-'Åtgärdslista Nuvärde'!$I8,""),"")</f>
        <v/>
      </c>
      <c r="Z8" s="57" t="str">
        <f>IFERROR(IF(Z$6&lt;='Åtgärdslista Nuvärde'!$G8,-PV('Åtgärdslista Nuvärde'!$D$6-'Åtgärdslista Nuvärde'!$D$7,Z$6,'Åtgärdslista Nuvärde'!$H8)-'Åtgärdslista Nuvärde'!$I8,""),"")</f>
        <v/>
      </c>
      <c r="AA8" s="57" t="str">
        <f>IFERROR(IF(AA$6&lt;='Åtgärdslista Nuvärde'!$G8,-PV('Åtgärdslista Nuvärde'!$D$6-'Åtgärdslista Nuvärde'!$D$7,AA$6,'Åtgärdslista Nuvärde'!$H8)-'Åtgärdslista Nuvärde'!$I8,""),"")</f>
        <v/>
      </c>
      <c r="AB8" s="57" t="str">
        <f>IFERROR(IF(AB$6&lt;='Åtgärdslista Nuvärde'!$G8,-PV('Åtgärdslista Nuvärde'!$D$6-'Åtgärdslista Nuvärde'!$D$7,AB$6,'Åtgärdslista Nuvärde'!$H8)-'Åtgärdslista Nuvärde'!$I8,""),"")</f>
        <v/>
      </c>
      <c r="AC8" s="57" t="str">
        <f>IFERROR(IF(AC$6&lt;='Åtgärdslista Nuvärde'!$G8,-PV('Åtgärdslista Nuvärde'!$D$6-'Åtgärdslista Nuvärde'!$D$7,AC$6,'Åtgärdslista Nuvärde'!$H8)-'Åtgärdslista Nuvärde'!$I8,""),"")</f>
        <v/>
      </c>
      <c r="AD8" s="57" t="str">
        <f>IFERROR(IF(AD$6&lt;='Åtgärdslista Nuvärde'!$G8,-PV('Åtgärdslista Nuvärde'!$D$6-'Åtgärdslista Nuvärde'!$D$7,AD$6,'Åtgärdslista Nuvärde'!$H8)-'Åtgärdslista Nuvärde'!$I8,""),"")</f>
        <v/>
      </c>
      <c r="AE8" s="57" t="str">
        <f>IFERROR(IF(AE$6&lt;='Åtgärdslista Nuvärde'!$G8,-PV('Åtgärdslista Nuvärde'!$D$6-'Åtgärdslista Nuvärde'!$D$7,AE$6,'Åtgärdslista Nuvärde'!$H8)-'Åtgärdslista Nuvärde'!$I8,""),"")</f>
        <v/>
      </c>
      <c r="AF8" s="57" t="str">
        <f>IFERROR(IF(AF$6&lt;='Åtgärdslista Nuvärde'!$G8,-PV('Åtgärdslista Nuvärde'!$D$6-'Åtgärdslista Nuvärde'!$D$7,AF$6,'Åtgärdslista Nuvärde'!$H8)-'Åtgärdslista Nuvärde'!$I8,""),"")</f>
        <v/>
      </c>
      <c r="AG8" s="57" t="str">
        <f>IFERROR(IF(AG$6&lt;='Åtgärdslista Nuvärde'!$G8,-PV('Åtgärdslista Nuvärde'!$D$6-'Åtgärdslista Nuvärde'!$D$7,AG$6,'Åtgärdslista Nuvärde'!$H8)-'Åtgärdslista Nuvärde'!$I8,""),"")</f>
        <v/>
      </c>
      <c r="AH8" s="57" t="str">
        <f>IFERROR(IF(AH$6&lt;='Åtgärdslista Nuvärde'!$G8,-PV('Åtgärdslista Nuvärde'!$D$6-'Åtgärdslista Nuvärde'!$D$7,AH$6,'Åtgärdslista Nuvärde'!$H8)-'Åtgärdslista Nuvärde'!$I8,""),"")</f>
        <v/>
      </c>
      <c r="AI8" s="57" t="str">
        <f>IFERROR(IF(AI$6&lt;='Åtgärdslista Nuvärde'!$G8,-PV('Åtgärdslista Nuvärde'!$D$6-'Åtgärdslista Nuvärde'!$D$7,AI$6,'Åtgärdslista Nuvärde'!$H8)-'Åtgärdslista Nuvärde'!$I8,""),"")</f>
        <v/>
      </c>
      <c r="AJ8" s="57" t="str">
        <f>IFERROR(IF(AJ$6&lt;='Åtgärdslista Nuvärde'!$G8,-PV('Åtgärdslista Nuvärde'!$D$6-'Åtgärdslista Nuvärde'!$D$7,AJ$6,'Åtgärdslista Nuvärde'!$H8)-'Åtgärdslista Nuvärde'!$I8,""),"")</f>
        <v/>
      </c>
      <c r="AK8" s="57" t="str">
        <f>IFERROR(IF(AK$6&lt;='Åtgärdslista Nuvärde'!$G8,-PV('Åtgärdslista Nuvärde'!$D$6-'Åtgärdslista Nuvärde'!$D$7,AK$6,'Åtgärdslista Nuvärde'!$H8)-'Åtgärdslista Nuvärde'!$I8,""),"")</f>
        <v/>
      </c>
      <c r="AL8" s="57" t="str">
        <f>IFERROR(IF(AL$6&lt;='Åtgärdslista Nuvärde'!$G8,-PV('Åtgärdslista Nuvärde'!$D$6-'Åtgärdslista Nuvärde'!$D$7,AL$6,'Åtgärdslista Nuvärde'!$H8)-'Åtgärdslista Nuvärde'!$I8,""),"")</f>
        <v/>
      </c>
      <c r="AM8" s="57" t="str">
        <f>IFERROR(IF(AM$6&lt;='Åtgärdslista Nuvärde'!$G8,-PV('Åtgärdslista Nuvärde'!$D$6-'Åtgärdslista Nuvärde'!$D$7,AM$6,'Åtgärdslista Nuvärde'!$H8)-'Åtgärdslista Nuvärde'!$I8,""),"")</f>
        <v/>
      </c>
      <c r="AN8" s="57" t="str">
        <f>IFERROR(IF(AN$6&lt;='Åtgärdslista Nuvärde'!$G8,-PV('Åtgärdslista Nuvärde'!$D$6-'Åtgärdslista Nuvärde'!$D$7,AN$6,'Åtgärdslista Nuvärde'!$H8)-'Åtgärdslista Nuvärde'!$I8,""),"")</f>
        <v/>
      </c>
      <c r="AO8" s="57" t="str">
        <f>IFERROR(IF(AO$6&lt;='Åtgärdslista Nuvärde'!$G8,-PV('Åtgärdslista Nuvärde'!$D$6-'Åtgärdslista Nuvärde'!$D$7,AO$6,'Åtgärdslista Nuvärde'!$H8)-'Åtgärdslista Nuvärde'!$I8,""),"")</f>
        <v/>
      </c>
      <c r="AP8" s="57" t="str">
        <f>IFERROR(IF(AP$6&lt;='Åtgärdslista Nuvärde'!$G8,-PV('Åtgärdslista Nuvärde'!$D$6-'Åtgärdslista Nuvärde'!$D$7,AP$6,'Åtgärdslista Nuvärde'!$H8)-'Åtgärdslista Nuvärde'!$I8,""),"")</f>
        <v/>
      </c>
      <c r="AQ8" s="57" t="str">
        <f>IFERROR(IF(AQ$6&lt;='Åtgärdslista Nuvärde'!$G8,-PV('Åtgärdslista Nuvärde'!$D$6-'Åtgärdslista Nuvärde'!$D$7,AQ$6,'Åtgärdslista Nuvärde'!$H8)-'Åtgärdslista Nuvärde'!$I8,""),"")</f>
        <v/>
      </c>
      <c r="AR8" s="57" t="str">
        <f>IFERROR(IF(AR$6&lt;='Åtgärdslista Nuvärde'!$G8,-PV('Åtgärdslista Nuvärde'!$D$6-'Åtgärdslista Nuvärde'!$D$7,AR$6,'Åtgärdslista Nuvärde'!$H8)-'Åtgärdslista Nuvärde'!$I8,""),"")</f>
        <v/>
      </c>
      <c r="AS8" s="57" t="str">
        <f>IFERROR(IF(AS$6&lt;='Åtgärdslista Nuvärde'!$G8,-PV('Åtgärdslista Nuvärde'!$D$6-'Åtgärdslista Nuvärde'!$D$7,AS$6,'Åtgärdslista Nuvärde'!$H8)-'Åtgärdslista Nuvärde'!$I8,""),"")</f>
        <v/>
      </c>
      <c r="AT8" s="57" t="str">
        <f>IFERROR(IF(AT$6&lt;='Åtgärdslista Nuvärde'!$G8,-PV('Åtgärdslista Nuvärde'!$D$6-'Åtgärdslista Nuvärde'!$D$7,AT$6,'Åtgärdslista Nuvärde'!$H8)-'Åtgärdslista Nuvärde'!$I8,""),"")</f>
        <v/>
      </c>
      <c r="AU8" s="57" t="str">
        <f>IFERROR(IF(AU$6&lt;='Åtgärdslista Nuvärde'!$G8,-PV('Åtgärdslista Nuvärde'!$D$6-'Åtgärdslista Nuvärde'!$D$7,AU$6,'Åtgärdslista Nuvärde'!$H8)-'Åtgärdslista Nuvärde'!$I8,""),"")</f>
        <v/>
      </c>
      <c r="AV8" s="57" t="str">
        <f>IFERROR(IF(AV$6&lt;='Åtgärdslista Nuvärde'!$G8,-PV('Åtgärdslista Nuvärde'!$D$6-'Åtgärdslista Nuvärde'!$D$7,AV$6,'Åtgärdslista Nuvärde'!$H8)-'Åtgärdslista Nuvärde'!$I8,""),"")</f>
        <v/>
      </c>
      <c r="AW8" s="57" t="str">
        <f>IFERROR(IF(AW$6&lt;='Åtgärdslista Nuvärde'!$G8,-PV('Åtgärdslista Nuvärde'!$D$6-'Åtgärdslista Nuvärde'!$D$7,AW$6,'Åtgärdslista Nuvärde'!$H8)-'Åtgärdslista Nuvärde'!$I8,""),"")</f>
        <v/>
      </c>
      <c r="AX8" s="57" t="str">
        <f>IFERROR(IF(AX$6&lt;='Åtgärdslista Nuvärde'!$G8,-PV('Åtgärdslista Nuvärde'!$D$6-'Åtgärdslista Nuvärde'!$D$7,AX$6,'Åtgärdslista Nuvärde'!$H8)-'Åtgärdslista Nuvärde'!$I8,""),"")</f>
        <v/>
      </c>
      <c r="AY8" s="57" t="str">
        <f>IFERROR(IF(AY$6&lt;='Åtgärdslista Nuvärde'!$G8,-PV('Åtgärdslista Nuvärde'!$D$6-'Åtgärdslista Nuvärde'!$D$7,AY$6,'Åtgärdslista Nuvärde'!$H8)-'Åtgärdslista Nuvärde'!$I8,""),"")</f>
        <v/>
      </c>
      <c r="AZ8" s="57" t="str">
        <f>IFERROR(IF(AZ$6&lt;='Åtgärdslista Nuvärde'!$G8,-PV('Åtgärdslista Nuvärde'!$D$6-'Åtgärdslista Nuvärde'!$D$7,AZ$6,'Åtgärdslista Nuvärde'!$H8)-'Åtgärdslista Nuvärde'!$I8,""),"")</f>
        <v/>
      </c>
      <c r="BA8" s="57" t="str">
        <f>IFERROR(IF(BA$6&lt;='Åtgärdslista Nuvärde'!$G8,-PV('Åtgärdslista Nuvärde'!$D$6-'Åtgärdslista Nuvärde'!$D$7,BA$6,'Åtgärdslista Nuvärde'!$H8)-'Åtgärdslista Nuvärde'!$I8,""),"")</f>
        <v/>
      </c>
      <c r="BB8" s="57" t="str">
        <f>IFERROR(IF(BB$6&lt;='Åtgärdslista Nuvärde'!$G8,-PV('Åtgärdslista Nuvärde'!$D$6-'Åtgärdslista Nuvärde'!$D$7,BB$6,'Åtgärdslista Nuvärde'!$H8)-'Åtgärdslista Nuvärde'!$I8,""),"")</f>
        <v/>
      </c>
    </row>
    <row r="9" spans="2:54" x14ac:dyDescent="0.3">
      <c r="D9" t="str">
        <f>IF('Åtgärdslista Nuvärde'!F9&lt;&gt;"",'Åtgärdslista Nuvärde'!F9,"")</f>
        <v>Paket 4</v>
      </c>
      <c r="E9" s="57">
        <f>IFERROR(IF(E$6&lt;='Åtgärdslista Nuvärde'!$G9,-PV('Åtgärdslista Nuvärde'!$D$6-'Åtgärdslista Nuvärde'!$D$7,E$6,'Åtgärdslista Nuvärde'!$H9)-'Åtgärdslista Nuvärde'!$I9,""),"")</f>
        <v>-7.9506699029124093</v>
      </c>
      <c r="F9" s="57">
        <f>IFERROR(IF(F$6&lt;='Åtgärdslista Nuvärde'!$G9,-PV('Åtgärdslista Nuvärde'!$D$6-'Åtgärdslista Nuvärde'!$D$7,F$6,'Åtgärdslista Nuvärde'!$H9)-'Åtgärdslista Nuvärde'!$I9,""),"")</f>
        <v>249.35256320105526</v>
      </c>
      <c r="G9" s="57">
        <f>IFERROR(IF(G$6&lt;='Åtgärdslista Nuvärde'!$G9,-PV('Åtgärdslista Nuvärde'!$D$6-'Åtgärdslista Nuvärde'!$D$7,G$6,'Åtgärdslista Nuvärde'!$H9)-'Åtgärdslista Nuvärde'!$I9,""),"")</f>
        <v>499.16152737966553</v>
      </c>
      <c r="H9" s="57">
        <f>IFERROR(IF(H$6&lt;='Åtgärdslista Nuvärde'!$G9,-PV('Åtgärdslista Nuvärde'!$D$6-'Åtgärdslista Nuvärde'!$D$7,H$6,'Åtgärdslista Nuvärde'!$H9)-'Åtgärdslista Nuvärde'!$I9,""),"")</f>
        <v>741.69450231035398</v>
      </c>
      <c r="I9" s="57">
        <f>IFERROR(IF(I$6&lt;='Åtgärdslista Nuvärde'!$G9,-PV('Åtgärdslista Nuvärde'!$D$6-'Åtgärdslista Nuvärde'!$D$7,I$6,'Åtgärdslista Nuvärde'!$H9)-'Åtgärdslista Nuvärde'!$I9,""),"")</f>
        <v>977.16341001005185</v>
      </c>
      <c r="J9" s="57">
        <f>IFERROR(IF(J$6&lt;='Åtgärdslista Nuvärde'!$G9,-PV('Åtgärdslista Nuvärde'!$D$6-'Åtgärdslista Nuvärde'!$D$7,J$6,'Åtgärdslista Nuvärde'!$H9)-'Åtgärdslista Nuvärde'!$I9,""),"")</f>
        <v>1205.7740000097594</v>
      </c>
      <c r="K9" s="57">
        <f>IFERROR(IF(K$6&lt;='Åtgärdslista Nuvärde'!$G9,-PV('Åtgärdslista Nuvärde'!$D$6-'Åtgärdslista Nuvärde'!$D$7,K$6,'Åtgärdslista Nuvärde'!$H9)-'Åtgärdslista Nuvärde'!$I9,""),"")</f>
        <v>1427.7260291356888</v>
      </c>
      <c r="L9" s="57">
        <f>IFERROR(IF(L$6&lt;='Åtgärdslista Nuvärde'!$G9,-PV('Åtgärdslista Nuvärde'!$D$6-'Åtgärdslista Nuvärde'!$D$7,L$6,'Åtgärdslista Nuvärde'!$H9)-'Åtgärdslista Nuvärde'!$I9,""),"")</f>
        <v>1643.2134360540663</v>
      </c>
      <c r="M9" s="57">
        <f>IFERROR(IF(M$6&lt;='Åtgärdslista Nuvärde'!$G9,-PV('Åtgärdslista Nuvärde'!$D$6-'Åtgärdslista Nuvärde'!$D$7,M$6,'Åtgärdslista Nuvärde'!$H9)-'Åtgärdslista Nuvärde'!$I9,""),"")</f>
        <v>1852.424510732103</v>
      </c>
      <c r="N9" s="57">
        <f>IFERROR(IF(N$6&lt;='Åtgärdslista Nuvärde'!$G9,-PV('Åtgärdslista Nuvärde'!$D$6-'Åtgärdslista Nuvärde'!$D$7,N$6,'Åtgärdslista Nuvärde'!$H9)-'Åtgärdslista Nuvärde'!$I9,""),"")</f>
        <v>2055.5420589632072</v>
      </c>
      <c r="O9" s="57">
        <f>IFERROR(IF(O$6&lt;='Åtgärdslista Nuvärde'!$G9,-PV('Åtgärdslista Nuvärde'!$D$6-'Åtgärdslista Nuvärde'!$D$7,O$6,'Åtgärdslista Nuvärde'!$H9)-'Åtgärdslista Nuvärde'!$I9,""),"")</f>
        <v>2252.743562100201</v>
      </c>
      <c r="P9" s="57">
        <f>IFERROR(IF(P$6&lt;='Åtgärdslista Nuvärde'!$G9,-PV('Åtgärdslista Nuvärde'!$D$6-'Åtgärdslista Nuvärde'!$D$7,P$6,'Åtgärdslista Nuvärde'!$H9)-'Åtgärdslista Nuvärde'!$I9,""),"")</f>
        <v>2444.201332136116</v>
      </c>
      <c r="Q9" s="57">
        <f>IFERROR(IF(Q$6&lt;='Åtgärdslista Nuvärde'!$G9,-PV('Åtgärdslista Nuvärde'!$D$6-'Åtgärdslista Nuvärde'!$D$7,Q$6,'Åtgärdslista Nuvärde'!$H9)-'Åtgärdslista Nuvärde'!$I9,""),"")</f>
        <v>2630.0826622680738</v>
      </c>
      <c r="R9" s="57">
        <f>IFERROR(IF(R$6&lt;='Åtgärdslista Nuvärde'!$G9,-PV('Åtgärdslista Nuvärde'!$D$6-'Åtgärdslista Nuvärde'!$D$7,R$6,'Åtgärdslista Nuvärde'!$H9)-'Åtgärdslista Nuvärde'!$I9,""),"")</f>
        <v>2810.5499730758002</v>
      </c>
      <c r="S9" s="57">
        <f>IFERROR(IF(S$6&lt;='Åtgärdslista Nuvärde'!$G9,-PV('Åtgärdslista Nuvärde'!$D$6-'Åtgärdslista Nuvärde'!$D$7,S$6,'Åtgärdslista Nuvärde'!$H9)-'Åtgärdslista Nuvärde'!$I9,""),"")</f>
        <v>2985.760954442525</v>
      </c>
      <c r="T9" s="57" t="str">
        <f>IFERROR(IF(T$6&lt;='Åtgärdslista Nuvärde'!$G9,-PV('Åtgärdslista Nuvärde'!$D$6-'Åtgärdslista Nuvärde'!$D$7,T$6,'Åtgärdslista Nuvärde'!$H9)-'Åtgärdslista Nuvärde'!$I9,""),"")</f>
        <v/>
      </c>
      <c r="U9" s="57" t="str">
        <f>IFERROR(IF(U$6&lt;='Åtgärdslista Nuvärde'!$G9,-PV('Åtgärdslista Nuvärde'!$D$6-'Åtgärdslista Nuvärde'!$D$7,U$6,'Åtgärdslista Nuvärde'!$H9)-'Åtgärdslista Nuvärde'!$I9,""),"")</f>
        <v/>
      </c>
      <c r="V9" s="57" t="str">
        <f>IFERROR(IF(V$6&lt;='Åtgärdslista Nuvärde'!$G9,-PV('Åtgärdslista Nuvärde'!$D$6-'Åtgärdslista Nuvärde'!$D$7,V$6,'Åtgärdslista Nuvärde'!$H9)-'Åtgärdslista Nuvärde'!$I9,""),"")</f>
        <v/>
      </c>
      <c r="W9" s="57" t="str">
        <f>IFERROR(IF(W$6&lt;='Åtgärdslista Nuvärde'!$G9,-PV('Åtgärdslista Nuvärde'!$D$6-'Åtgärdslista Nuvärde'!$D$7,W$6,'Åtgärdslista Nuvärde'!$H9)-'Åtgärdslista Nuvärde'!$I9,""),"")</f>
        <v/>
      </c>
      <c r="X9" s="57" t="str">
        <f>IFERROR(IF(X$6&lt;='Åtgärdslista Nuvärde'!$G9,-PV('Åtgärdslista Nuvärde'!$D$6-'Åtgärdslista Nuvärde'!$D$7,X$6,'Åtgärdslista Nuvärde'!$H9)-'Åtgärdslista Nuvärde'!$I9,""),"")</f>
        <v/>
      </c>
      <c r="Y9" s="57" t="str">
        <f>IFERROR(IF(Y$6&lt;='Åtgärdslista Nuvärde'!$G9,-PV('Åtgärdslista Nuvärde'!$D$6-'Åtgärdslista Nuvärde'!$D$7,Y$6,'Åtgärdslista Nuvärde'!$H9)-'Åtgärdslista Nuvärde'!$I9,""),"")</f>
        <v/>
      </c>
      <c r="Z9" s="57" t="str">
        <f>IFERROR(IF(Z$6&lt;='Åtgärdslista Nuvärde'!$G9,-PV('Åtgärdslista Nuvärde'!$D$6-'Åtgärdslista Nuvärde'!$D$7,Z$6,'Åtgärdslista Nuvärde'!$H9)-'Åtgärdslista Nuvärde'!$I9,""),"")</f>
        <v/>
      </c>
      <c r="AA9" s="57" t="str">
        <f>IFERROR(IF(AA$6&lt;='Åtgärdslista Nuvärde'!$G9,-PV('Åtgärdslista Nuvärde'!$D$6-'Åtgärdslista Nuvärde'!$D$7,AA$6,'Åtgärdslista Nuvärde'!$H9)-'Åtgärdslista Nuvärde'!$I9,""),"")</f>
        <v/>
      </c>
      <c r="AB9" s="57" t="str">
        <f>IFERROR(IF(AB$6&lt;='Åtgärdslista Nuvärde'!$G9,-PV('Åtgärdslista Nuvärde'!$D$6-'Åtgärdslista Nuvärde'!$D$7,AB$6,'Åtgärdslista Nuvärde'!$H9)-'Åtgärdslista Nuvärde'!$I9,""),"")</f>
        <v/>
      </c>
      <c r="AC9" s="57" t="str">
        <f>IFERROR(IF(AC$6&lt;='Åtgärdslista Nuvärde'!$G9,-PV('Åtgärdslista Nuvärde'!$D$6-'Åtgärdslista Nuvärde'!$D$7,AC$6,'Åtgärdslista Nuvärde'!$H9)-'Åtgärdslista Nuvärde'!$I9,""),"")</f>
        <v/>
      </c>
      <c r="AD9" s="57" t="str">
        <f>IFERROR(IF(AD$6&lt;='Åtgärdslista Nuvärde'!$G9,-PV('Åtgärdslista Nuvärde'!$D$6-'Åtgärdslista Nuvärde'!$D$7,AD$6,'Åtgärdslista Nuvärde'!$H9)-'Åtgärdslista Nuvärde'!$I9,""),"")</f>
        <v/>
      </c>
      <c r="AE9" s="57" t="str">
        <f>IFERROR(IF(AE$6&lt;='Åtgärdslista Nuvärde'!$G9,-PV('Åtgärdslista Nuvärde'!$D$6-'Åtgärdslista Nuvärde'!$D$7,AE$6,'Åtgärdslista Nuvärde'!$H9)-'Åtgärdslista Nuvärde'!$I9,""),"")</f>
        <v/>
      </c>
      <c r="AF9" s="57" t="str">
        <f>IFERROR(IF(AF$6&lt;='Åtgärdslista Nuvärde'!$G9,-PV('Åtgärdslista Nuvärde'!$D$6-'Åtgärdslista Nuvärde'!$D$7,AF$6,'Åtgärdslista Nuvärde'!$H9)-'Åtgärdslista Nuvärde'!$I9,""),"")</f>
        <v/>
      </c>
      <c r="AG9" s="57" t="str">
        <f>IFERROR(IF(AG$6&lt;='Åtgärdslista Nuvärde'!$G9,-PV('Åtgärdslista Nuvärde'!$D$6-'Åtgärdslista Nuvärde'!$D$7,AG$6,'Åtgärdslista Nuvärde'!$H9)-'Åtgärdslista Nuvärde'!$I9,""),"")</f>
        <v/>
      </c>
      <c r="AH9" s="57" t="str">
        <f>IFERROR(IF(AH$6&lt;='Åtgärdslista Nuvärde'!$G9,-PV('Åtgärdslista Nuvärde'!$D$6-'Åtgärdslista Nuvärde'!$D$7,AH$6,'Åtgärdslista Nuvärde'!$H9)-'Åtgärdslista Nuvärde'!$I9,""),"")</f>
        <v/>
      </c>
      <c r="AI9" s="57" t="str">
        <f>IFERROR(IF(AI$6&lt;='Åtgärdslista Nuvärde'!$G9,-PV('Åtgärdslista Nuvärde'!$D$6-'Åtgärdslista Nuvärde'!$D$7,AI$6,'Åtgärdslista Nuvärde'!$H9)-'Åtgärdslista Nuvärde'!$I9,""),"")</f>
        <v/>
      </c>
      <c r="AJ9" s="57" t="str">
        <f>IFERROR(IF(AJ$6&lt;='Åtgärdslista Nuvärde'!$G9,-PV('Åtgärdslista Nuvärde'!$D$6-'Åtgärdslista Nuvärde'!$D$7,AJ$6,'Åtgärdslista Nuvärde'!$H9)-'Åtgärdslista Nuvärde'!$I9,""),"")</f>
        <v/>
      </c>
      <c r="AK9" s="57" t="str">
        <f>IFERROR(IF(AK$6&lt;='Åtgärdslista Nuvärde'!$G9,-PV('Åtgärdslista Nuvärde'!$D$6-'Åtgärdslista Nuvärde'!$D$7,AK$6,'Åtgärdslista Nuvärde'!$H9)-'Åtgärdslista Nuvärde'!$I9,""),"")</f>
        <v/>
      </c>
      <c r="AL9" s="57" t="str">
        <f>IFERROR(IF(AL$6&lt;='Åtgärdslista Nuvärde'!$G9,-PV('Åtgärdslista Nuvärde'!$D$6-'Åtgärdslista Nuvärde'!$D$7,AL$6,'Åtgärdslista Nuvärde'!$H9)-'Åtgärdslista Nuvärde'!$I9,""),"")</f>
        <v/>
      </c>
      <c r="AM9" s="57" t="str">
        <f>IFERROR(IF(AM$6&lt;='Åtgärdslista Nuvärde'!$G9,-PV('Åtgärdslista Nuvärde'!$D$6-'Åtgärdslista Nuvärde'!$D$7,AM$6,'Åtgärdslista Nuvärde'!$H9)-'Åtgärdslista Nuvärde'!$I9,""),"")</f>
        <v/>
      </c>
      <c r="AN9" s="57" t="str">
        <f>IFERROR(IF(AN$6&lt;='Åtgärdslista Nuvärde'!$G9,-PV('Åtgärdslista Nuvärde'!$D$6-'Åtgärdslista Nuvärde'!$D$7,AN$6,'Åtgärdslista Nuvärde'!$H9)-'Åtgärdslista Nuvärde'!$I9,""),"")</f>
        <v/>
      </c>
      <c r="AO9" s="57" t="str">
        <f>IFERROR(IF(AO$6&lt;='Åtgärdslista Nuvärde'!$G9,-PV('Åtgärdslista Nuvärde'!$D$6-'Åtgärdslista Nuvärde'!$D$7,AO$6,'Åtgärdslista Nuvärde'!$H9)-'Åtgärdslista Nuvärde'!$I9,""),"")</f>
        <v/>
      </c>
      <c r="AP9" s="57" t="str">
        <f>IFERROR(IF(AP$6&lt;='Åtgärdslista Nuvärde'!$G9,-PV('Åtgärdslista Nuvärde'!$D$6-'Åtgärdslista Nuvärde'!$D$7,AP$6,'Åtgärdslista Nuvärde'!$H9)-'Åtgärdslista Nuvärde'!$I9,""),"")</f>
        <v/>
      </c>
      <c r="AQ9" s="57" t="str">
        <f>IFERROR(IF(AQ$6&lt;='Åtgärdslista Nuvärde'!$G9,-PV('Åtgärdslista Nuvärde'!$D$6-'Åtgärdslista Nuvärde'!$D$7,AQ$6,'Åtgärdslista Nuvärde'!$H9)-'Åtgärdslista Nuvärde'!$I9,""),"")</f>
        <v/>
      </c>
      <c r="AR9" s="57" t="str">
        <f>IFERROR(IF(AR$6&lt;='Åtgärdslista Nuvärde'!$G9,-PV('Åtgärdslista Nuvärde'!$D$6-'Åtgärdslista Nuvärde'!$D$7,AR$6,'Åtgärdslista Nuvärde'!$H9)-'Åtgärdslista Nuvärde'!$I9,""),"")</f>
        <v/>
      </c>
      <c r="AS9" s="57" t="str">
        <f>IFERROR(IF(AS$6&lt;='Åtgärdslista Nuvärde'!$G9,-PV('Åtgärdslista Nuvärde'!$D$6-'Åtgärdslista Nuvärde'!$D$7,AS$6,'Åtgärdslista Nuvärde'!$H9)-'Åtgärdslista Nuvärde'!$I9,""),"")</f>
        <v/>
      </c>
      <c r="AT9" s="57" t="str">
        <f>IFERROR(IF(AT$6&lt;='Åtgärdslista Nuvärde'!$G9,-PV('Åtgärdslista Nuvärde'!$D$6-'Åtgärdslista Nuvärde'!$D$7,AT$6,'Åtgärdslista Nuvärde'!$H9)-'Åtgärdslista Nuvärde'!$I9,""),"")</f>
        <v/>
      </c>
      <c r="AU9" s="57" t="str">
        <f>IFERROR(IF(AU$6&lt;='Åtgärdslista Nuvärde'!$G9,-PV('Åtgärdslista Nuvärde'!$D$6-'Åtgärdslista Nuvärde'!$D$7,AU$6,'Åtgärdslista Nuvärde'!$H9)-'Åtgärdslista Nuvärde'!$I9,""),"")</f>
        <v/>
      </c>
      <c r="AV9" s="57" t="str">
        <f>IFERROR(IF(AV$6&lt;='Åtgärdslista Nuvärde'!$G9,-PV('Åtgärdslista Nuvärde'!$D$6-'Åtgärdslista Nuvärde'!$D$7,AV$6,'Åtgärdslista Nuvärde'!$H9)-'Åtgärdslista Nuvärde'!$I9,""),"")</f>
        <v/>
      </c>
      <c r="AW9" s="57" t="str">
        <f>IFERROR(IF(AW$6&lt;='Åtgärdslista Nuvärde'!$G9,-PV('Åtgärdslista Nuvärde'!$D$6-'Åtgärdslista Nuvärde'!$D$7,AW$6,'Åtgärdslista Nuvärde'!$H9)-'Åtgärdslista Nuvärde'!$I9,""),"")</f>
        <v/>
      </c>
      <c r="AX9" s="57" t="str">
        <f>IFERROR(IF(AX$6&lt;='Åtgärdslista Nuvärde'!$G9,-PV('Åtgärdslista Nuvärde'!$D$6-'Åtgärdslista Nuvärde'!$D$7,AX$6,'Åtgärdslista Nuvärde'!$H9)-'Åtgärdslista Nuvärde'!$I9,""),"")</f>
        <v/>
      </c>
      <c r="AY9" s="57" t="str">
        <f>IFERROR(IF(AY$6&lt;='Åtgärdslista Nuvärde'!$G9,-PV('Åtgärdslista Nuvärde'!$D$6-'Åtgärdslista Nuvärde'!$D$7,AY$6,'Åtgärdslista Nuvärde'!$H9)-'Åtgärdslista Nuvärde'!$I9,""),"")</f>
        <v/>
      </c>
      <c r="AZ9" s="57" t="str">
        <f>IFERROR(IF(AZ$6&lt;='Åtgärdslista Nuvärde'!$G9,-PV('Åtgärdslista Nuvärde'!$D$6-'Åtgärdslista Nuvärde'!$D$7,AZ$6,'Åtgärdslista Nuvärde'!$H9)-'Åtgärdslista Nuvärde'!$I9,""),"")</f>
        <v/>
      </c>
      <c r="BA9" s="57" t="str">
        <f>IFERROR(IF(BA$6&lt;='Åtgärdslista Nuvärde'!$G9,-PV('Åtgärdslista Nuvärde'!$D$6-'Åtgärdslista Nuvärde'!$D$7,BA$6,'Åtgärdslista Nuvärde'!$H9)-'Åtgärdslista Nuvärde'!$I9,""),"")</f>
        <v/>
      </c>
      <c r="BB9" s="57" t="str">
        <f>IFERROR(IF(BB$6&lt;='Åtgärdslista Nuvärde'!$G9,-PV('Åtgärdslista Nuvärde'!$D$6-'Åtgärdslista Nuvärde'!$D$7,BB$6,'Åtgärdslista Nuvärde'!$H9)-'Åtgärdslista Nuvärde'!$I9,""),"")</f>
        <v/>
      </c>
    </row>
    <row r="10" spans="2:54" x14ac:dyDescent="0.3">
      <c r="D10" t="str">
        <f>IF('Åtgärdslista Nuvärde'!F10&lt;&gt;"",'Åtgärdslista Nuvärde'!F10,"")</f>
        <v>Paket 4</v>
      </c>
      <c r="E10" s="57">
        <f>IFERROR(IF(E$6&lt;='Åtgärdslista Nuvärde'!$G10,-PV('Åtgärdslista Nuvärde'!$D$6-'Åtgärdslista Nuvärde'!$D$7,E$6,'Åtgärdslista Nuvärde'!$H10)-'Åtgärdslista Nuvärde'!$I10,""),"")</f>
        <v>786.00716504854449</v>
      </c>
      <c r="F10" s="57">
        <f>IFERROR(IF(F$6&lt;='Åtgärdslista Nuvärde'!$G10,-PV('Åtgärdslista Nuvärde'!$D$6-'Åtgärdslista Nuvärde'!$D$7,F$6,'Åtgärdslista Nuvärde'!$H10)-'Åtgärdslista Nuvärde'!$I10,""),"")</f>
        <v>1628.6879078141189</v>
      </c>
      <c r="G10" s="57">
        <f>IFERROR(IF(G$6&lt;='Åtgärdslista Nuvärde'!$G10,-PV('Åtgärdslista Nuvärde'!$D$6-'Åtgärdslista Nuvärde'!$D$7,G$6,'Åtgärdslista Nuvärde'!$H10)-'Åtgärdslista Nuvärde'!$I10,""),"")</f>
        <v>2446.8245512758444</v>
      </c>
      <c r="H10" s="57">
        <f>IFERROR(IF(H$6&lt;='Åtgärdslista Nuvärde'!$G10,-PV('Åtgärdslista Nuvärde'!$D$6-'Åtgärdslista Nuvärde'!$D$7,H$6,'Åtgärdslista Nuvärde'!$H10)-'Åtgärdslista Nuvärde'!$I10,""),"")</f>
        <v>3241.1319721124682</v>
      </c>
      <c r="I10" s="57">
        <f>IFERROR(IF(I$6&lt;='Åtgärdslista Nuvärde'!$G10,-PV('Åtgärdslista Nuvärde'!$D$6-'Åtgärdslista Nuvärde'!$D$7,I$6,'Åtgärdslista Nuvärde'!$H10)-'Åtgärdslista Nuvärde'!$I10,""),"")</f>
        <v>4012.3042253519093</v>
      </c>
      <c r="J10" s="57">
        <f>IFERROR(IF(J$6&lt;='Åtgärdslista Nuvärde'!$G10,-PV('Åtgärdslista Nuvärde'!$D$6-'Åtgärdslista Nuvärde'!$D$7,J$6,'Åtgärdslista Nuvärde'!$H10)-'Åtgärdslista Nuvärde'!$I10,""),"")</f>
        <v>4761.0151508270983</v>
      </c>
      <c r="K10" s="57">
        <f>IFERROR(IF(K$6&lt;='Åtgärdslista Nuvärde'!$G10,-PV('Åtgärdslista Nuvärde'!$D$6-'Åtgärdslista Nuvärde'!$D$7,K$6,'Åtgärdslista Nuvärde'!$H10)-'Åtgärdslista Nuvärde'!$I10,""),"")</f>
        <v>5487.9189619680574</v>
      </c>
      <c r="L10" s="57">
        <f>IFERROR(IF(L$6&lt;='Åtgärdslista Nuvärde'!$G10,-PV('Åtgärdslista Nuvärde'!$D$6-'Åtgärdslista Nuvärde'!$D$7,L$6,'Åtgärdslista Nuvärde'!$H10)-'Åtgärdslista Nuvärde'!$I10,""),"")</f>
        <v>6193.6508174447135</v>
      </c>
      <c r="M10" s="57">
        <f>IFERROR(IF(M$6&lt;='Åtgärdslista Nuvärde'!$G10,-PV('Åtgärdslista Nuvärde'!$D$6-'Åtgärdslista Nuvärde'!$D$7,M$6,'Åtgärdslista Nuvärde'!$H10)-'Åtgärdslista Nuvärde'!$I10,""),"")</f>
        <v>6878.8273761599175</v>
      </c>
      <c r="N10" s="57">
        <f>IFERROR(IF(N$6&lt;='Åtgärdslista Nuvärde'!$G10,-PV('Åtgärdslista Nuvärde'!$D$6-'Åtgärdslista Nuvärde'!$D$7,N$6,'Åtgärdslista Nuvärde'!$H10)-'Åtgärdslista Nuvärde'!$I10,""),"")</f>
        <v>7544.0473360775895</v>
      </c>
      <c r="O10" s="57">
        <f>IFERROR(IF(O$6&lt;='Åtgärdslista Nuvärde'!$G10,-PV('Åtgärdslista Nuvärde'!$D$6-'Åtgärdslista Nuvärde'!$D$7,O$6,'Åtgärdslista Nuvärde'!$H10)-'Åtgärdslista Nuvärde'!$I10,""),"")</f>
        <v>8189.8919573568819</v>
      </c>
      <c r="P10" s="57">
        <f>IFERROR(IF(P$6&lt;='Åtgärdslista Nuvärde'!$G10,-PV('Åtgärdslista Nuvärde'!$D$6-'Åtgärdslista Nuvärde'!$D$7,P$6,'Åtgärdslista Nuvärde'!$H10)-'Åtgärdslista Nuvärde'!$I10,""),"")</f>
        <v>8816.9255702493974</v>
      </c>
      <c r="Q10" s="57">
        <f>IFERROR(IF(Q$6&lt;='Åtgärdslista Nuvärde'!$G10,-PV('Åtgärdslista Nuvärde'!$D$6-'Åtgärdslista Nuvärde'!$D$7,Q$6,'Åtgärdslista Nuvärde'!$H10)-'Åtgärdslista Nuvärde'!$I10,""),"")</f>
        <v>9425.6960682032986</v>
      </c>
      <c r="R10" s="57">
        <f>IFERROR(IF(R$6&lt;='Åtgärdslista Nuvärde'!$G10,-PV('Åtgärdslista Nuvärde'!$D$6-'Åtgärdslista Nuvärde'!$D$7,R$6,'Åtgärdslista Nuvärde'!$H10)-'Åtgärdslista Nuvärde'!$I10,""),"")</f>
        <v>10016.735386605147</v>
      </c>
      <c r="S10" s="57">
        <f>IFERROR(IF(S$6&lt;='Åtgärdslista Nuvärde'!$G10,-PV('Åtgärdslista Nuvärde'!$D$6-'Åtgärdslista Nuvärde'!$D$7,S$6,'Åtgärdslista Nuvärde'!$H10)-'Åtgärdslista Nuvärde'!$I10,""),"")</f>
        <v>10590.559967577812</v>
      </c>
      <c r="T10" s="57" t="str">
        <f>IFERROR(IF(T$6&lt;='Åtgärdslista Nuvärde'!$G10,-PV('Åtgärdslista Nuvärde'!$D$6-'Åtgärdslista Nuvärde'!$D$7,T$6,'Åtgärdslista Nuvärde'!$H10)-'Åtgärdslista Nuvärde'!$I10,""),"")</f>
        <v/>
      </c>
      <c r="U10" s="57" t="str">
        <f>IFERROR(IF(U$6&lt;='Åtgärdslista Nuvärde'!$G10,-PV('Åtgärdslista Nuvärde'!$D$6-'Åtgärdslista Nuvärde'!$D$7,U$6,'Åtgärdslista Nuvärde'!$H10)-'Åtgärdslista Nuvärde'!$I10,""),"")</f>
        <v/>
      </c>
      <c r="V10" s="57" t="str">
        <f>IFERROR(IF(V$6&lt;='Åtgärdslista Nuvärde'!$G10,-PV('Åtgärdslista Nuvärde'!$D$6-'Åtgärdslista Nuvärde'!$D$7,V$6,'Åtgärdslista Nuvärde'!$H10)-'Åtgärdslista Nuvärde'!$I10,""),"")</f>
        <v/>
      </c>
      <c r="W10" s="57" t="str">
        <f>IFERROR(IF(W$6&lt;='Åtgärdslista Nuvärde'!$G10,-PV('Åtgärdslista Nuvärde'!$D$6-'Åtgärdslista Nuvärde'!$D$7,W$6,'Åtgärdslista Nuvärde'!$H10)-'Åtgärdslista Nuvärde'!$I10,""),"")</f>
        <v/>
      </c>
      <c r="X10" s="57" t="str">
        <f>IFERROR(IF(X$6&lt;='Åtgärdslista Nuvärde'!$G10,-PV('Åtgärdslista Nuvärde'!$D$6-'Åtgärdslista Nuvärde'!$D$7,X$6,'Åtgärdslista Nuvärde'!$H10)-'Åtgärdslista Nuvärde'!$I10,""),"")</f>
        <v/>
      </c>
      <c r="Y10" s="57" t="str">
        <f>IFERROR(IF(Y$6&lt;='Åtgärdslista Nuvärde'!$G10,-PV('Åtgärdslista Nuvärde'!$D$6-'Åtgärdslista Nuvärde'!$D$7,Y$6,'Åtgärdslista Nuvärde'!$H10)-'Åtgärdslista Nuvärde'!$I10,""),"")</f>
        <v/>
      </c>
      <c r="Z10" s="57" t="str">
        <f>IFERROR(IF(Z$6&lt;='Åtgärdslista Nuvärde'!$G10,-PV('Åtgärdslista Nuvärde'!$D$6-'Åtgärdslista Nuvärde'!$D$7,Z$6,'Åtgärdslista Nuvärde'!$H10)-'Åtgärdslista Nuvärde'!$I10,""),"")</f>
        <v/>
      </c>
      <c r="AA10" s="57" t="str">
        <f>IFERROR(IF(AA$6&lt;='Åtgärdslista Nuvärde'!$G10,-PV('Åtgärdslista Nuvärde'!$D$6-'Åtgärdslista Nuvärde'!$D$7,AA$6,'Åtgärdslista Nuvärde'!$H10)-'Åtgärdslista Nuvärde'!$I10,""),"")</f>
        <v/>
      </c>
      <c r="AB10" s="57" t="str">
        <f>IFERROR(IF(AB$6&lt;='Åtgärdslista Nuvärde'!$G10,-PV('Åtgärdslista Nuvärde'!$D$6-'Åtgärdslista Nuvärde'!$D$7,AB$6,'Åtgärdslista Nuvärde'!$H10)-'Åtgärdslista Nuvärde'!$I10,""),"")</f>
        <v/>
      </c>
      <c r="AC10" s="57" t="str">
        <f>IFERROR(IF(AC$6&lt;='Åtgärdslista Nuvärde'!$G10,-PV('Åtgärdslista Nuvärde'!$D$6-'Åtgärdslista Nuvärde'!$D$7,AC$6,'Åtgärdslista Nuvärde'!$H10)-'Åtgärdslista Nuvärde'!$I10,""),"")</f>
        <v/>
      </c>
      <c r="AD10" s="57" t="str">
        <f>IFERROR(IF(AD$6&lt;='Åtgärdslista Nuvärde'!$G10,-PV('Åtgärdslista Nuvärde'!$D$6-'Åtgärdslista Nuvärde'!$D$7,AD$6,'Åtgärdslista Nuvärde'!$H10)-'Åtgärdslista Nuvärde'!$I10,""),"")</f>
        <v/>
      </c>
      <c r="AE10" s="57" t="str">
        <f>IFERROR(IF(AE$6&lt;='Åtgärdslista Nuvärde'!$G10,-PV('Åtgärdslista Nuvärde'!$D$6-'Åtgärdslista Nuvärde'!$D$7,AE$6,'Åtgärdslista Nuvärde'!$H10)-'Åtgärdslista Nuvärde'!$I10,""),"")</f>
        <v/>
      </c>
      <c r="AF10" s="57" t="str">
        <f>IFERROR(IF(AF$6&lt;='Åtgärdslista Nuvärde'!$G10,-PV('Åtgärdslista Nuvärde'!$D$6-'Åtgärdslista Nuvärde'!$D$7,AF$6,'Åtgärdslista Nuvärde'!$H10)-'Åtgärdslista Nuvärde'!$I10,""),"")</f>
        <v/>
      </c>
      <c r="AG10" s="57" t="str">
        <f>IFERROR(IF(AG$6&lt;='Åtgärdslista Nuvärde'!$G10,-PV('Åtgärdslista Nuvärde'!$D$6-'Åtgärdslista Nuvärde'!$D$7,AG$6,'Åtgärdslista Nuvärde'!$H10)-'Åtgärdslista Nuvärde'!$I10,""),"")</f>
        <v/>
      </c>
      <c r="AH10" s="57" t="str">
        <f>IFERROR(IF(AH$6&lt;='Åtgärdslista Nuvärde'!$G10,-PV('Åtgärdslista Nuvärde'!$D$6-'Åtgärdslista Nuvärde'!$D$7,AH$6,'Åtgärdslista Nuvärde'!$H10)-'Åtgärdslista Nuvärde'!$I10,""),"")</f>
        <v/>
      </c>
      <c r="AI10" s="57" t="str">
        <f>IFERROR(IF(AI$6&lt;='Åtgärdslista Nuvärde'!$G10,-PV('Åtgärdslista Nuvärde'!$D$6-'Åtgärdslista Nuvärde'!$D$7,AI$6,'Åtgärdslista Nuvärde'!$H10)-'Åtgärdslista Nuvärde'!$I10,""),"")</f>
        <v/>
      </c>
      <c r="AJ10" s="57" t="str">
        <f>IFERROR(IF(AJ$6&lt;='Åtgärdslista Nuvärde'!$G10,-PV('Åtgärdslista Nuvärde'!$D$6-'Åtgärdslista Nuvärde'!$D$7,AJ$6,'Åtgärdslista Nuvärde'!$H10)-'Åtgärdslista Nuvärde'!$I10,""),"")</f>
        <v/>
      </c>
      <c r="AK10" s="57" t="str">
        <f>IFERROR(IF(AK$6&lt;='Åtgärdslista Nuvärde'!$G10,-PV('Åtgärdslista Nuvärde'!$D$6-'Åtgärdslista Nuvärde'!$D$7,AK$6,'Åtgärdslista Nuvärde'!$H10)-'Åtgärdslista Nuvärde'!$I10,""),"")</f>
        <v/>
      </c>
      <c r="AL10" s="57" t="str">
        <f>IFERROR(IF(AL$6&lt;='Åtgärdslista Nuvärde'!$G10,-PV('Åtgärdslista Nuvärde'!$D$6-'Åtgärdslista Nuvärde'!$D$7,AL$6,'Åtgärdslista Nuvärde'!$H10)-'Åtgärdslista Nuvärde'!$I10,""),"")</f>
        <v/>
      </c>
      <c r="AM10" s="57" t="str">
        <f>IFERROR(IF(AM$6&lt;='Åtgärdslista Nuvärde'!$G10,-PV('Åtgärdslista Nuvärde'!$D$6-'Åtgärdslista Nuvärde'!$D$7,AM$6,'Åtgärdslista Nuvärde'!$H10)-'Åtgärdslista Nuvärde'!$I10,""),"")</f>
        <v/>
      </c>
      <c r="AN10" s="57" t="str">
        <f>IFERROR(IF(AN$6&lt;='Åtgärdslista Nuvärde'!$G10,-PV('Åtgärdslista Nuvärde'!$D$6-'Åtgärdslista Nuvärde'!$D$7,AN$6,'Åtgärdslista Nuvärde'!$H10)-'Åtgärdslista Nuvärde'!$I10,""),"")</f>
        <v/>
      </c>
      <c r="AO10" s="57" t="str">
        <f>IFERROR(IF(AO$6&lt;='Åtgärdslista Nuvärde'!$G10,-PV('Åtgärdslista Nuvärde'!$D$6-'Åtgärdslista Nuvärde'!$D$7,AO$6,'Åtgärdslista Nuvärde'!$H10)-'Åtgärdslista Nuvärde'!$I10,""),"")</f>
        <v/>
      </c>
      <c r="AP10" s="57" t="str">
        <f>IFERROR(IF(AP$6&lt;='Åtgärdslista Nuvärde'!$G10,-PV('Åtgärdslista Nuvärde'!$D$6-'Åtgärdslista Nuvärde'!$D$7,AP$6,'Åtgärdslista Nuvärde'!$H10)-'Åtgärdslista Nuvärde'!$I10,""),"")</f>
        <v/>
      </c>
      <c r="AQ10" s="57" t="str">
        <f>IFERROR(IF(AQ$6&lt;='Åtgärdslista Nuvärde'!$G10,-PV('Åtgärdslista Nuvärde'!$D$6-'Åtgärdslista Nuvärde'!$D$7,AQ$6,'Åtgärdslista Nuvärde'!$H10)-'Åtgärdslista Nuvärde'!$I10,""),"")</f>
        <v/>
      </c>
      <c r="AR10" s="57" t="str">
        <f>IFERROR(IF(AR$6&lt;='Åtgärdslista Nuvärde'!$G10,-PV('Åtgärdslista Nuvärde'!$D$6-'Åtgärdslista Nuvärde'!$D$7,AR$6,'Åtgärdslista Nuvärde'!$H10)-'Åtgärdslista Nuvärde'!$I10,""),"")</f>
        <v/>
      </c>
      <c r="AS10" s="57" t="str">
        <f>IFERROR(IF(AS$6&lt;='Åtgärdslista Nuvärde'!$G10,-PV('Åtgärdslista Nuvärde'!$D$6-'Åtgärdslista Nuvärde'!$D$7,AS$6,'Åtgärdslista Nuvärde'!$H10)-'Åtgärdslista Nuvärde'!$I10,""),"")</f>
        <v/>
      </c>
      <c r="AT10" s="57" t="str">
        <f>IFERROR(IF(AT$6&lt;='Åtgärdslista Nuvärde'!$G10,-PV('Åtgärdslista Nuvärde'!$D$6-'Åtgärdslista Nuvärde'!$D$7,AT$6,'Åtgärdslista Nuvärde'!$H10)-'Åtgärdslista Nuvärde'!$I10,""),"")</f>
        <v/>
      </c>
      <c r="AU10" s="57" t="str">
        <f>IFERROR(IF(AU$6&lt;='Åtgärdslista Nuvärde'!$G10,-PV('Åtgärdslista Nuvärde'!$D$6-'Åtgärdslista Nuvärde'!$D$7,AU$6,'Åtgärdslista Nuvärde'!$H10)-'Åtgärdslista Nuvärde'!$I10,""),"")</f>
        <v/>
      </c>
      <c r="AV10" s="57" t="str">
        <f>IFERROR(IF(AV$6&lt;='Åtgärdslista Nuvärde'!$G10,-PV('Åtgärdslista Nuvärde'!$D$6-'Åtgärdslista Nuvärde'!$D$7,AV$6,'Åtgärdslista Nuvärde'!$H10)-'Åtgärdslista Nuvärde'!$I10,""),"")</f>
        <v/>
      </c>
      <c r="AW10" s="57" t="str">
        <f>IFERROR(IF(AW$6&lt;='Åtgärdslista Nuvärde'!$G10,-PV('Åtgärdslista Nuvärde'!$D$6-'Åtgärdslista Nuvärde'!$D$7,AW$6,'Åtgärdslista Nuvärde'!$H10)-'Åtgärdslista Nuvärde'!$I10,""),"")</f>
        <v/>
      </c>
      <c r="AX10" s="57" t="str">
        <f>IFERROR(IF(AX$6&lt;='Åtgärdslista Nuvärde'!$G10,-PV('Åtgärdslista Nuvärde'!$D$6-'Åtgärdslista Nuvärde'!$D$7,AX$6,'Åtgärdslista Nuvärde'!$H10)-'Åtgärdslista Nuvärde'!$I10,""),"")</f>
        <v/>
      </c>
      <c r="AY10" s="57" t="str">
        <f>IFERROR(IF(AY$6&lt;='Åtgärdslista Nuvärde'!$G10,-PV('Åtgärdslista Nuvärde'!$D$6-'Åtgärdslista Nuvärde'!$D$7,AY$6,'Åtgärdslista Nuvärde'!$H10)-'Åtgärdslista Nuvärde'!$I10,""),"")</f>
        <v/>
      </c>
      <c r="AZ10" s="57" t="str">
        <f>IFERROR(IF(AZ$6&lt;='Åtgärdslista Nuvärde'!$G10,-PV('Åtgärdslista Nuvärde'!$D$6-'Åtgärdslista Nuvärde'!$D$7,AZ$6,'Åtgärdslista Nuvärde'!$H10)-'Åtgärdslista Nuvärde'!$I10,""),"")</f>
        <v/>
      </c>
      <c r="BA10" s="57" t="str">
        <f>IFERROR(IF(BA$6&lt;='Åtgärdslista Nuvärde'!$G10,-PV('Åtgärdslista Nuvärde'!$D$6-'Åtgärdslista Nuvärde'!$D$7,BA$6,'Åtgärdslista Nuvärde'!$H10)-'Åtgärdslista Nuvärde'!$I10,""),"")</f>
        <v/>
      </c>
      <c r="BB10" s="57" t="str">
        <f>IFERROR(IF(BB$6&lt;='Åtgärdslista Nuvärde'!$G10,-PV('Åtgärdslista Nuvärde'!$D$6-'Åtgärdslista Nuvärde'!$D$7,BB$6,'Åtgärdslista Nuvärde'!$H10)-'Åtgärdslista Nuvärde'!$I10,""),"")</f>
        <v/>
      </c>
    </row>
    <row r="11" spans="2:54" x14ac:dyDescent="0.3">
      <c r="D11" t="s">
        <v>68</v>
      </c>
      <c r="E11" s="71">
        <f>F4</f>
        <v>2358.4</v>
      </c>
      <c r="F11" s="71">
        <f t="shared" ref="F11:AK11" si="0">IF(F13&gt;0,E11-E13,0)</f>
        <v>2201.1733333333336</v>
      </c>
      <c r="G11" s="71">
        <f t="shared" si="0"/>
        <v>2043.9466666666669</v>
      </c>
      <c r="H11" s="71">
        <f t="shared" si="0"/>
        <v>1886.7200000000003</v>
      </c>
      <c r="I11" s="71">
        <f t="shared" si="0"/>
        <v>1729.4933333333336</v>
      </c>
      <c r="J11" s="71">
        <f t="shared" si="0"/>
        <v>1572.2666666666669</v>
      </c>
      <c r="K11" s="71">
        <f t="shared" si="0"/>
        <v>1415.0400000000002</v>
      </c>
      <c r="L11" s="71">
        <f t="shared" si="0"/>
        <v>1257.8133333333335</v>
      </c>
      <c r="M11" s="71">
        <f t="shared" si="0"/>
        <v>1100.5866666666668</v>
      </c>
      <c r="N11" s="71">
        <f t="shared" si="0"/>
        <v>943.36000000000013</v>
      </c>
      <c r="O11" s="71">
        <f t="shared" si="0"/>
        <v>786.13333333333344</v>
      </c>
      <c r="P11" s="71" t="e">
        <f t="shared" si="0"/>
        <v>#VALUE!</v>
      </c>
      <c r="Q11" s="71" t="e">
        <f t="shared" si="0"/>
        <v>#VALUE!</v>
      </c>
      <c r="R11" s="71" t="e">
        <f t="shared" si="0"/>
        <v>#VALUE!</v>
      </c>
      <c r="S11" s="71" t="e">
        <f t="shared" si="0"/>
        <v>#VALUE!</v>
      </c>
      <c r="T11" s="71" t="e">
        <f t="shared" si="0"/>
        <v>#VALUE!</v>
      </c>
      <c r="U11" s="71" t="e">
        <f t="shared" si="0"/>
        <v>#VALUE!</v>
      </c>
      <c r="V11" s="71" t="e">
        <f t="shared" si="0"/>
        <v>#VALUE!</v>
      </c>
      <c r="W11" s="71" t="e">
        <f t="shared" si="0"/>
        <v>#VALUE!</v>
      </c>
      <c r="X11" s="71" t="e">
        <f t="shared" si="0"/>
        <v>#VALUE!</v>
      </c>
      <c r="Y11" s="71" t="e">
        <f t="shared" si="0"/>
        <v>#VALUE!</v>
      </c>
      <c r="Z11" s="71" t="e">
        <f t="shared" si="0"/>
        <v>#VALUE!</v>
      </c>
      <c r="AA11" s="71" t="e">
        <f t="shared" si="0"/>
        <v>#VALUE!</v>
      </c>
      <c r="AB11" s="71" t="e">
        <f t="shared" si="0"/>
        <v>#VALUE!</v>
      </c>
      <c r="AC11" s="71" t="e">
        <f t="shared" si="0"/>
        <v>#VALUE!</v>
      </c>
      <c r="AD11" s="71" t="e">
        <f t="shared" si="0"/>
        <v>#VALUE!</v>
      </c>
      <c r="AE11" s="71" t="e">
        <f t="shared" si="0"/>
        <v>#VALUE!</v>
      </c>
      <c r="AF11" s="71" t="e">
        <f t="shared" si="0"/>
        <v>#VALUE!</v>
      </c>
      <c r="AG11" s="71" t="e">
        <f t="shared" si="0"/>
        <v>#VALUE!</v>
      </c>
      <c r="AH11" s="71" t="e">
        <f>IF(AH13&gt;0,AG11-AG13,0)</f>
        <v>#VALUE!</v>
      </c>
      <c r="AI11" s="71" t="e">
        <f t="shared" si="0"/>
        <v>#VALUE!</v>
      </c>
      <c r="AJ11" s="71" t="e">
        <f t="shared" si="0"/>
        <v>#VALUE!</v>
      </c>
      <c r="AK11" s="71" t="e">
        <f t="shared" si="0"/>
        <v>#VALUE!</v>
      </c>
      <c r="AL11" s="71" t="e">
        <f t="shared" ref="AL11:BB11" si="1">IF(AL13&gt;0,AK11-AK13,0)</f>
        <v>#VALUE!</v>
      </c>
      <c r="AM11" s="71" t="e">
        <f t="shared" si="1"/>
        <v>#VALUE!</v>
      </c>
      <c r="AN11" s="71" t="e">
        <f t="shared" si="1"/>
        <v>#VALUE!</v>
      </c>
      <c r="AO11" s="71" t="e">
        <f t="shared" si="1"/>
        <v>#VALUE!</v>
      </c>
      <c r="AP11" s="71" t="e">
        <f t="shared" si="1"/>
        <v>#VALUE!</v>
      </c>
      <c r="AQ11" s="71" t="e">
        <f t="shared" si="1"/>
        <v>#VALUE!</v>
      </c>
      <c r="AR11" s="71" t="e">
        <f t="shared" si="1"/>
        <v>#VALUE!</v>
      </c>
      <c r="AS11" s="71" t="e">
        <f t="shared" si="1"/>
        <v>#VALUE!</v>
      </c>
      <c r="AT11" s="71" t="e">
        <f t="shared" si="1"/>
        <v>#VALUE!</v>
      </c>
      <c r="AU11" s="71" t="e">
        <f t="shared" si="1"/>
        <v>#VALUE!</v>
      </c>
      <c r="AV11" s="71" t="e">
        <f t="shared" si="1"/>
        <v>#VALUE!</v>
      </c>
      <c r="AW11" s="71" t="e">
        <f t="shared" si="1"/>
        <v>#VALUE!</v>
      </c>
      <c r="AX11" s="71" t="e">
        <f t="shared" si="1"/>
        <v>#VALUE!</v>
      </c>
      <c r="AY11" s="71" t="e">
        <f t="shared" si="1"/>
        <v>#VALUE!</v>
      </c>
      <c r="AZ11" s="71" t="e">
        <f t="shared" si="1"/>
        <v>#VALUE!</v>
      </c>
      <c r="BA11" s="71" t="e">
        <f t="shared" si="1"/>
        <v>#VALUE!</v>
      </c>
      <c r="BB11" s="71" t="e">
        <f t="shared" si="1"/>
        <v>#VALUE!</v>
      </c>
    </row>
    <row r="12" spans="2:54" x14ac:dyDescent="0.3">
      <c r="D12" t="s">
        <v>63</v>
      </c>
      <c r="E12" s="71">
        <f>(F3-F5)</f>
        <v>531.75300000000004</v>
      </c>
      <c r="F12" s="57">
        <f>E12*(1+'Åtgärdslista Nuvärde'!$D$7)</f>
        <v>542.38806000000011</v>
      </c>
      <c r="G12" s="57">
        <f>F12*(1+'Åtgärdslista Nuvärde'!$D$7)</f>
        <v>553.23582120000015</v>
      </c>
      <c r="H12" s="57">
        <f>G12*(1+'Åtgärdslista Nuvärde'!$D$7)</f>
        <v>564.30053762400019</v>
      </c>
      <c r="I12" s="57">
        <f>H12*(1+'Åtgärdslista Nuvärde'!$D$7)</f>
        <v>575.58654837648021</v>
      </c>
      <c r="J12" s="57">
        <f>I12*(1+'Åtgärdslista Nuvärde'!$D$7)</f>
        <v>587.09827934400982</v>
      </c>
      <c r="K12" s="57">
        <f>J12*(1+'Åtgärdslista Nuvärde'!$D$7)</f>
        <v>598.84024493088998</v>
      </c>
      <c r="L12" s="57">
        <f>K12*(1+'Åtgärdslista Nuvärde'!$D$7)</f>
        <v>610.81704982950782</v>
      </c>
      <c r="M12" s="57">
        <f>L12*(1+'Åtgärdslista Nuvärde'!$D$7)</f>
        <v>623.03339082609796</v>
      </c>
      <c r="N12" s="57">
        <f>M12*(1+'Åtgärdslista Nuvärde'!$D$7)</f>
        <v>635.49405864261996</v>
      </c>
      <c r="O12" s="57">
        <f>N12*(1+'Åtgärdslista Nuvärde'!$D$7)</f>
        <v>648.20393981547238</v>
      </c>
      <c r="P12" s="57">
        <f>O12*(1+'Åtgärdslista Nuvärde'!$D$7)</f>
        <v>661.1680186117818</v>
      </c>
      <c r="Q12" s="57">
        <f>P12*(1+'Åtgärdslista Nuvärde'!$D$7)</f>
        <v>674.39137898401748</v>
      </c>
      <c r="R12" s="57">
        <f>Q12*(1+'Åtgärdslista Nuvärde'!$D$7)</f>
        <v>687.87920656369784</v>
      </c>
      <c r="S12" s="57">
        <f>R12*(1+'Åtgärdslista Nuvärde'!$D$7)</f>
        <v>701.63679069497175</v>
      </c>
      <c r="T12" s="57">
        <f>S12*(1+'Åtgärdslista Nuvärde'!$D$7)</f>
        <v>715.66952650887117</v>
      </c>
      <c r="U12" s="57">
        <f>T12*(1+'Åtgärdslista Nuvärde'!$D$7)</f>
        <v>729.98291703904863</v>
      </c>
      <c r="V12" s="57">
        <f>U12*(1+'Åtgärdslista Nuvärde'!$D$7)</f>
        <v>744.58257537982956</v>
      </c>
      <c r="W12" s="57">
        <f>V12*(1+'Åtgärdslista Nuvärde'!$D$7)</f>
        <v>759.4742268874262</v>
      </c>
      <c r="X12" s="57">
        <f>W12*(1+'Åtgärdslista Nuvärde'!$D$7)</f>
        <v>774.66371142517471</v>
      </c>
      <c r="Y12" s="57">
        <f>X12*(1+'Åtgärdslista Nuvärde'!$D$7)</f>
        <v>790.15698565367825</v>
      </c>
      <c r="Z12" s="57">
        <f>Y12*(1+'Åtgärdslista Nuvärde'!$D$7)</f>
        <v>805.96012536675187</v>
      </c>
      <c r="AA12" s="57">
        <f>Z12*(1+'Åtgärdslista Nuvärde'!$D$7)</f>
        <v>822.07932787408697</v>
      </c>
      <c r="AB12" s="57">
        <f>AA12*(1+'Åtgärdslista Nuvärde'!$D$7)</f>
        <v>838.52091443156871</v>
      </c>
      <c r="AC12" s="57">
        <f>AB12*(1+'Åtgärdslista Nuvärde'!$D$7)</f>
        <v>855.2913327202001</v>
      </c>
      <c r="AD12" s="57">
        <f>AC12*(1+'Åtgärdslista Nuvärde'!$D$7)</f>
        <v>872.39715937460414</v>
      </c>
      <c r="AE12" s="57">
        <f>AD12*(1+'Åtgärdslista Nuvärde'!$D$7)</f>
        <v>889.84510256209626</v>
      </c>
      <c r="AF12" s="57">
        <f>AE12*(1+'Åtgärdslista Nuvärde'!$D$7)</f>
        <v>907.64200461333814</v>
      </c>
      <c r="AG12" s="57">
        <f>AF12*(1+'Åtgärdslista Nuvärde'!$D$7)</f>
        <v>925.79484470560487</v>
      </c>
      <c r="AH12" s="57">
        <f>AG12*(1+'Åtgärdslista Nuvärde'!$D$7)</f>
        <v>944.31074159971695</v>
      </c>
      <c r="AI12" s="57">
        <f>AH12*(1+'Åtgärdslista Nuvärde'!$D$7)</f>
        <v>963.19695643171133</v>
      </c>
      <c r="AJ12" s="57">
        <f>AI12*(1+'Åtgärdslista Nuvärde'!$D$7)</f>
        <v>982.46089556034553</v>
      </c>
      <c r="AK12" s="57">
        <f>AJ12*(1+'Åtgärdslista Nuvärde'!$D$7)</f>
        <v>1002.1101134715525</v>
      </c>
      <c r="AL12" s="57">
        <f>AK12*(1+'Åtgärdslista Nuvärde'!$D$7)</f>
        <v>1022.1523157409836</v>
      </c>
      <c r="AM12" s="57">
        <f>AL12*(1+'Åtgärdslista Nuvärde'!$D$7)</f>
        <v>1042.5953620558032</v>
      </c>
      <c r="AN12" s="57">
        <f>AM12*(1+'Åtgärdslista Nuvärde'!$D$7)</f>
        <v>1063.4472692969193</v>
      </c>
      <c r="AO12" s="57">
        <f>AN12*(1+'Åtgärdslista Nuvärde'!$D$7)</f>
        <v>1084.7162146828578</v>
      </c>
      <c r="AP12" s="57">
        <f>AO12*(1+'Åtgärdslista Nuvärde'!$D$7)</f>
        <v>1106.410538976515</v>
      </c>
      <c r="AQ12" s="57">
        <f>AP12*(1+'Åtgärdslista Nuvärde'!$D$7)</f>
        <v>1128.5387497560453</v>
      </c>
      <c r="AR12" s="57">
        <f>AQ12*(1+'Åtgärdslista Nuvärde'!$D$7)</f>
        <v>1151.1095247511662</v>
      </c>
      <c r="AS12" s="57">
        <f>AR12*(1+'Åtgärdslista Nuvärde'!$D$7)</f>
        <v>1174.1317152461895</v>
      </c>
      <c r="AT12" s="57">
        <f>AS12*(1+'Åtgärdslista Nuvärde'!$D$7)</f>
        <v>1197.6143495511133</v>
      </c>
      <c r="AU12" s="57">
        <f>AT12*(1+'Åtgärdslista Nuvärde'!$D$7)</f>
        <v>1221.5666365421355</v>
      </c>
      <c r="AV12" s="57">
        <f>AU12*(1+'Åtgärdslista Nuvärde'!$D$7)</f>
        <v>1245.9979692729783</v>
      </c>
      <c r="AW12" s="57">
        <f>AV12*(1+'Åtgärdslista Nuvärde'!$D$7)</f>
        <v>1270.9179286584379</v>
      </c>
      <c r="AX12" s="57">
        <f>AW12*(1+'Åtgärdslista Nuvärde'!$D$7)</f>
        <v>1296.3362872316065</v>
      </c>
      <c r="AY12" s="57">
        <f>AX12*(1+'Åtgärdslista Nuvärde'!$D$7)</f>
        <v>1322.2630129762388</v>
      </c>
      <c r="AZ12" s="57">
        <f>AY12*(1+'Åtgärdslista Nuvärde'!$D$7)</f>
        <v>1348.7082732357635</v>
      </c>
      <c r="BA12" s="57">
        <f>AZ12*(1+'Åtgärdslista Nuvärde'!$D$7)</f>
        <v>1375.6824387004788</v>
      </c>
      <c r="BB12" s="57">
        <f>BA12*(1+'Åtgärdslista Nuvärde'!$D$7)</f>
        <v>1403.1960874744884</v>
      </c>
    </row>
    <row r="13" spans="2:54" x14ac:dyDescent="0.3">
      <c r="D13" t="s">
        <v>66</v>
      </c>
      <c r="E13" s="72">
        <f>IF(E6&lt;='Åtgärdslista Nuvärde'!$G$7,$H$4,"")</f>
        <v>157.22666666666666</v>
      </c>
      <c r="F13" s="72">
        <f>IF(F6&lt;='Åtgärdslista Nuvärde'!$G$7,$H$4,"")</f>
        <v>157.22666666666666</v>
      </c>
      <c r="G13" s="72">
        <f>IF(G6&lt;='Åtgärdslista Nuvärde'!$G$7,$H$4,"")</f>
        <v>157.22666666666666</v>
      </c>
      <c r="H13" s="72">
        <f>IF(H6&lt;='Åtgärdslista Nuvärde'!$G$7,$H$4,"")</f>
        <v>157.22666666666666</v>
      </c>
      <c r="I13" s="72">
        <f>IF(I6&lt;='Åtgärdslista Nuvärde'!$G$7,$H$4,"")</f>
        <v>157.22666666666666</v>
      </c>
      <c r="J13" s="72">
        <f>IF(J6&lt;='Åtgärdslista Nuvärde'!$G$7,$H$4,"")</f>
        <v>157.22666666666666</v>
      </c>
      <c r="K13" s="72">
        <f>IF(K6&lt;='Åtgärdslista Nuvärde'!$G$7,$H$4,"")</f>
        <v>157.22666666666666</v>
      </c>
      <c r="L13" s="72">
        <f>IF(L6&lt;='Åtgärdslista Nuvärde'!$G$7,$H$4,"")</f>
        <v>157.22666666666666</v>
      </c>
      <c r="M13" s="72">
        <f>IF(M6&lt;='Åtgärdslista Nuvärde'!$G$7,$H$4,"")</f>
        <v>157.22666666666666</v>
      </c>
      <c r="N13" s="72">
        <f>IF(N6&lt;='Åtgärdslista Nuvärde'!$G$7,$H$4,"")</f>
        <v>157.22666666666666</v>
      </c>
      <c r="O13" s="72" t="str">
        <f>IF(O6&lt;='Åtgärdslista Nuvärde'!$G$7,$H$4,"")</f>
        <v/>
      </c>
      <c r="P13" s="72" t="str">
        <f>IF(P6&lt;='Åtgärdslista Nuvärde'!$G$7,$H$4,"")</f>
        <v/>
      </c>
      <c r="Q13" s="72" t="str">
        <f>IF(Q6&lt;='Åtgärdslista Nuvärde'!$G$7,$H$4,"")</f>
        <v/>
      </c>
      <c r="R13" s="72" t="str">
        <f>IF(R6&lt;='Åtgärdslista Nuvärde'!$G$7,$H$4,"")</f>
        <v/>
      </c>
      <c r="S13" s="72" t="str">
        <f>IF(S6&lt;='Åtgärdslista Nuvärde'!$G$7,$H$4,"")</f>
        <v/>
      </c>
      <c r="T13" s="72" t="str">
        <f>IF(T6&lt;='Åtgärdslista Nuvärde'!$G$7,$H$4,"")</f>
        <v/>
      </c>
      <c r="U13" s="72" t="str">
        <f>IF(U6&lt;='Åtgärdslista Nuvärde'!$G$7,$H$4,"")</f>
        <v/>
      </c>
      <c r="V13" s="72" t="str">
        <f>IF(V6&lt;='Åtgärdslista Nuvärde'!$G$7,$H$4,"")</f>
        <v/>
      </c>
      <c r="W13" s="72" t="str">
        <f>IF(W6&lt;='Åtgärdslista Nuvärde'!$G$7,$H$4,"")</f>
        <v/>
      </c>
      <c r="X13" s="72" t="str">
        <f>IF(X6&lt;='Åtgärdslista Nuvärde'!$G$7,$H$4,"")</f>
        <v/>
      </c>
      <c r="Y13" s="72" t="str">
        <f>IF(Y6&lt;='Åtgärdslista Nuvärde'!$G$7,$H$4,"")</f>
        <v/>
      </c>
      <c r="Z13" s="72" t="str">
        <f>IF(Z6&lt;='Åtgärdslista Nuvärde'!$G$7,$H$4,"")</f>
        <v/>
      </c>
      <c r="AA13" s="72" t="str">
        <f>IF(AA6&lt;='Åtgärdslista Nuvärde'!$G$7,$H$4,"")</f>
        <v/>
      </c>
      <c r="AB13" s="72" t="str">
        <f>IF(AB6&lt;='Åtgärdslista Nuvärde'!$G$7,$H$4,"")</f>
        <v/>
      </c>
      <c r="AC13" s="72" t="str">
        <f>IF(AC6&lt;='Åtgärdslista Nuvärde'!$G$7,$H$4,"")</f>
        <v/>
      </c>
      <c r="AD13" s="72" t="str">
        <f>IF(AD6&lt;='Åtgärdslista Nuvärde'!$G$7,$H$4,"")</f>
        <v/>
      </c>
      <c r="AE13" s="72" t="str">
        <f>IF(AE6&lt;='Åtgärdslista Nuvärde'!$G$7,$H$4,"")</f>
        <v/>
      </c>
      <c r="AF13" s="72" t="str">
        <f>IF(AF6&lt;='Åtgärdslista Nuvärde'!$G$7,$H$4,"")</f>
        <v/>
      </c>
      <c r="AG13" s="72" t="str">
        <f>IF(AG6&lt;='Åtgärdslista Nuvärde'!$G$7,$H$4,"")</f>
        <v/>
      </c>
      <c r="AH13" s="72" t="str">
        <f>IF(AH6&lt;='Åtgärdslista Nuvärde'!$G$7,$H$4,"")</f>
        <v/>
      </c>
      <c r="AI13" s="72" t="str">
        <f>IF(AI6&lt;='Åtgärdslista Nuvärde'!$G$7,$H$4,"")</f>
        <v/>
      </c>
      <c r="AJ13" s="72" t="str">
        <f>IF(AJ6&lt;='Åtgärdslista Nuvärde'!$G$7,$H$4,"")</f>
        <v/>
      </c>
      <c r="AK13" s="72" t="str">
        <f>IF(AK6&lt;='Åtgärdslista Nuvärde'!$G$7,$H$4,"")</f>
        <v/>
      </c>
      <c r="AL13" s="72" t="str">
        <f>IF(AL6&lt;='Åtgärdslista Nuvärde'!$G$7,$H$4,"")</f>
        <v/>
      </c>
      <c r="AM13" s="72" t="str">
        <f>IF(AM6&lt;='Åtgärdslista Nuvärde'!$G$7,$H$4,"")</f>
        <v/>
      </c>
      <c r="AN13" s="72" t="str">
        <f>IF(AN6&lt;='Åtgärdslista Nuvärde'!$G$7,$H$4,"")</f>
        <v/>
      </c>
      <c r="AO13" s="72" t="str">
        <f>IF(AO6&lt;='Åtgärdslista Nuvärde'!$G$7,$H$4,"")</f>
        <v/>
      </c>
      <c r="AP13" s="72" t="str">
        <f>IF(AP6&lt;='Åtgärdslista Nuvärde'!$G$7,$H$4,"")</f>
        <v/>
      </c>
      <c r="AQ13" s="72" t="str">
        <f>IF(AQ6&lt;='Åtgärdslista Nuvärde'!$G$7,$H$4,"")</f>
        <v/>
      </c>
      <c r="AR13" s="72" t="str">
        <f>IF(AR6&lt;='Åtgärdslista Nuvärde'!$G$7,$H$4,"")</f>
        <v/>
      </c>
      <c r="AS13" s="72" t="str">
        <f>IF(AS6&lt;='Åtgärdslista Nuvärde'!$G$7,$H$4,"")</f>
        <v/>
      </c>
      <c r="AT13" s="72" t="str">
        <f>IF(AT6&lt;='Åtgärdslista Nuvärde'!$G$7,$H$4,"")</f>
        <v/>
      </c>
      <c r="AU13" s="72" t="str">
        <f>IF(AU6&lt;='Åtgärdslista Nuvärde'!$G$7,$H$4,"")</f>
        <v/>
      </c>
      <c r="AV13" s="72" t="str">
        <f>IF(AV6&lt;='Åtgärdslista Nuvärde'!$G$7,$H$4,"")</f>
        <v/>
      </c>
      <c r="AW13" s="72" t="str">
        <f>IF(AW6&lt;='Åtgärdslista Nuvärde'!$G$7,$H$4,"")</f>
        <v/>
      </c>
      <c r="AX13" s="72" t="str">
        <f>IF(AX6&lt;='Åtgärdslista Nuvärde'!$G$7,$H$4,"")</f>
        <v/>
      </c>
      <c r="AY13" s="72" t="str">
        <f>IF(AY6&lt;='Åtgärdslista Nuvärde'!$G$7,$H$4,"")</f>
        <v/>
      </c>
      <c r="AZ13" s="72" t="str">
        <f>IF(AZ6&lt;='Åtgärdslista Nuvärde'!$G$7,$H$4,"")</f>
        <v/>
      </c>
      <c r="BA13" s="72" t="str">
        <f>IF(BA6&lt;='Åtgärdslista Nuvärde'!$G$7,$H$4,"")</f>
        <v/>
      </c>
      <c r="BB13" s="72" t="str">
        <f>IF(BB6&lt;='Åtgärdslista Nuvärde'!$G$7,$H$4,"")</f>
        <v/>
      </c>
    </row>
    <row r="14" spans="2:54" x14ac:dyDescent="0.3">
      <c r="D14" t="s">
        <v>67</v>
      </c>
      <c r="E14">
        <f>E11*'Åtgärdslista Nuvärde'!$D$6</f>
        <v>117.92000000000002</v>
      </c>
      <c r="F14">
        <f>F11*'Åtgärdslista Nuvärde'!$D$6</f>
        <v>110.05866666666668</v>
      </c>
      <c r="G14">
        <f>G11*'Åtgärdslista Nuvärde'!$D$6</f>
        <v>102.19733333333335</v>
      </c>
      <c r="H14">
        <f>H11*'Åtgärdslista Nuvärde'!$D$6</f>
        <v>94.336000000000013</v>
      </c>
      <c r="I14">
        <f>I11*'Åtgärdslista Nuvärde'!$D$6</f>
        <v>86.474666666666678</v>
      </c>
      <c r="J14">
        <f>J11*'Åtgärdslista Nuvärde'!$D$6</f>
        <v>78.613333333333344</v>
      </c>
      <c r="K14">
        <f>K11*'Åtgärdslista Nuvärde'!$D$6</f>
        <v>70.75200000000001</v>
      </c>
      <c r="L14">
        <f>L11*'Åtgärdslista Nuvärde'!$D$6</f>
        <v>62.890666666666675</v>
      </c>
      <c r="M14">
        <f>M11*'Åtgärdslista Nuvärde'!$D$6</f>
        <v>55.029333333333341</v>
      </c>
      <c r="N14">
        <f>N11*'Åtgärdslista Nuvärde'!$D$6</f>
        <v>47.168000000000006</v>
      </c>
      <c r="O14">
        <f>O11*'Åtgärdslista Nuvärde'!$D$6</f>
        <v>39.306666666666672</v>
      </c>
      <c r="P14" t="e">
        <f>P11*'Åtgärdslista Nuvärde'!$D$6</f>
        <v>#VALUE!</v>
      </c>
      <c r="Q14" t="e">
        <f>Q11*'Åtgärdslista Nuvärde'!$D$6</f>
        <v>#VALUE!</v>
      </c>
      <c r="R14" t="e">
        <f>R11*'Åtgärdslista Nuvärde'!$D$6</f>
        <v>#VALUE!</v>
      </c>
      <c r="S14" t="e">
        <f>S11*'Åtgärdslista Nuvärde'!$D$6</f>
        <v>#VALUE!</v>
      </c>
      <c r="T14" t="e">
        <f>T11*'Åtgärdslista Nuvärde'!$D$6</f>
        <v>#VALUE!</v>
      </c>
      <c r="U14" t="e">
        <f>U11*'Åtgärdslista Nuvärde'!$D$6</f>
        <v>#VALUE!</v>
      </c>
      <c r="V14" t="e">
        <f>V11*'Åtgärdslista Nuvärde'!$D$6</f>
        <v>#VALUE!</v>
      </c>
      <c r="W14" t="e">
        <f>W11*'Åtgärdslista Nuvärde'!$D$6</f>
        <v>#VALUE!</v>
      </c>
      <c r="X14" t="e">
        <f>X11*'Åtgärdslista Nuvärde'!$D$6</f>
        <v>#VALUE!</v>
      </c>
      <c r="Y14" t="e">
        <f>Y11*'Åtgärdslista Nuvärde'!$D$6</f>
        <v>#VALUE!</v>
      </c>
      <c r="Z14" t="e">
        <f>Z11*'Åtgärdslista Nuvärde'!$D$6</f>
        <v>#VALUE!</v>
      </c>
      <c r="AA14" t="e">
        <f>AA11*'Åtgärdslista Nuvärde'!$D$6</f>
        <v>#VALUE!</v>
      </c>
      <c r="AB14" t="e">
        <f>AB11*'Åtgärdslista Nuvärde'!$D$6</f>
        <v>#VALUE!</v>
      </c>
      <c r="AC14" t="e">
        <f>AC11*'Åtgärdslista Nuvärde'!$D$6</f>
        <v>#VALUE!</v>
      </c>
      <c r="AD14" t="e">
        <f>AD11*'Åtgärdslista Nuvärde'!$D$6</f>
        <v>#VALUE!</v>
      </c>
      <c r="AE14" t="e">
        <f>AE11*'Åtgärdslista Nuvärde'!$D$6</f>
        <v>#VALUE!</v>
      </c>
      <c r="AF14" t="e">
        <f>AF11*'Åtgärdslista Nuvärde'!$D$6</f>
        <v>#VALUE!</v>
      </c>
      <c r="AG14" t="e">
        <f>AG11*'Åtgärdslista Nuvärde'!$D$6</f>
        <v>#VALUE!</v>
      </c>
      <c r="AH14" t="e">
        <f>AH11*'Åtgärdslista Nuvärde'!$D$6</f>
        <v>#VALUE!</v>
      </c>
      <c r="AI14" t="e">
        <f>AI11*'Åtgärdslista Nuvärde'!$D$6</f>
        <v>#VALUE!</v>
      </c>
      <c r="AJ14" t="e">
        <f>AJ11*'Åtgärdslista Nuvärde'!$D$6</f>
        <v>#VALUE!</v>
      </c>
      <c r="AK14" t="e">
        <f>AK11*'Åtgärdslista Nuvärde'!$D$6</f>
        <v>#VALUE!</v>
      </c>
      <c r="AL14" t="e">
        <f>AL11*'Åtgärdslista Nuvärde'!$D$6</f>
        <v>#VALUE!</v>
      </c>
      <c r="AM14" t="e">
        <f>AM11*'Åtgärdslista Nuvärde'!$D$6</f>
        <v>#VALUE!</v>
      </c>
      <c r="AN14" t="e">
        <f>AN11*'Åtgärdslista Nuvärde'!$D$6</f>
        <v>#VALUE!</v>
      </c>
      <c r="AO14" t="e">
        <f>AO11*'Åtgärdslista Nuvärde'!$D$6</f>
        <v>#VALUE!</v>
      </c>
      <c r="AP14" t="e">
        <f>AP11*'Åtgärdslista Nuvärde'!$D$6</f>
        <v>#VALUE!</v>
      </c>
      <c r="AQ14" t="e">
        <f>AQ11*'Åtgärdslista Nuvärde'!$D$6</f>
        <v>#VALUE!</v>
      </c>
      <c r="AR14" t="e">
        <f>AR11*'Åtgärdslista Nuvärde'!$D$6</f>
        <v>#VALUE!</v>
      </c>
      <c r="AS14" t="e">
        <f>AS11*'Åtgärdslista Nuvärde'!$D$6</f>
        <v>#VALUE!</v>
      </c>
      <c r="AT14" t="e">
        <f>AT11*'Åtgärdslista Nuvärde'!$D$6</f>
        <v>#VALUE!</v>
      </c>
      <c r="AU14" t="e">
        <f>AU11*'Åtgärdslista Nuvärde'!$D$6</f>
        <v>#VALUE!</v>
      </c>
      <c r="AV14" t="e">
        <f>AV11*'Åtgärdslista Nuvärde'!$D$6</f>
        <v>#VALUE!</v>
      </c>
      <c r="AW14" t="e">
        <f>AW11*'Åtgärdslista Nuvärde'!$D$6</f>
        <v>#VALUE!</v>
      </c>
      <c r="AX14" t="e">
        <f>AX11*'Åtgärdslista Nuvärde'!$D$6</f>
        <v>#VALUE!</v>
      </c>
      <c r="AY14" t="e">
        <f>AY11*'Åtgärdslista Nuvärde'!$D$6</f>
        <v>#VALUE!</v>
      </c>
      <c r="AZ14" t="e">
        <f>AZ11*'Åtgärdslista Nuvärde'!$D$6</f>
        <v>#VALUE!</v>
      </c>
      <c r="BA14" t="e">
        <f>BA11*'Åtgärdslista Nuvärde'!$D$6</f>
        <v>#VALUE!</v>
      </c>
      <c r="BB14" t="e">
        <f>BB11*'Åtgärdslista Nuvärde'!$D$6</f>
        <v>#VALUE!</v>
      </c>
    </row>
    <row r="15" spans="2:54" x14ac:dyDescent="0.3">
      <c r="D15" t="s">
        <v>69</v>
      </c>
      <c r="E15" s="71">
        <f t="shared" ref="E15:AJ15" si="2">SUM(E12,E13,E14)</f>
        <v>806.89966666666669</v>
      </c>
      <c r="F15" s="71">
        <f t="shared" si="2"/>
        <v>809.67339333333348</v>
      </c>
      <c r="G15" s="71">
        <f t="shared" si="2"/>
        <v>812.65982120000012</v>
      </c>
      <c r="H15" s="71">
        <f t="shared" si="2"/>
        <v>815.86320429066689</v>
      </c>
      <c r="I15" s="71">
        <f t="shared" si="2"/>
        <v>819.28788170981352</v>
      </c>
      <c r="J15" s="71">
        <f t="shared" si="2"/>
        <v>822.93827934400986</v>
      </c>
      <c r="K15" s="71">
        <f t="shared" si="2"/>
        <v>826.81891159755673</v>
      </c>
      <c r="L15" s="71">
        <f t="shared" si="2"/>
        <v>830.93438316284119</v>
      </c>
      <c r="M15" s="71">
        <f t="shared" si="2"/>
        <v>835.28939082609804</v>
      </c>
      <c r="N15" s="71">
        <f t="shared" si="2"/>
        <v>839.88872530928666</v>
      </c>
      <c r="O15" s="71">
        <f t="shared" si="2"/>
        <v>687.51060648213911</v>
      </c>
      <c r="P15" s="71" t="e">
        <f t="shared" si="2"/>
        <v>#VALUE!</v>
      </c>
      <c r="Q15" s="71" t="e">
        <f t="shared" si="2"/>
        <v>#VALUE!</v>
      </c>
      <c r="R15" s="71" t="e">
        <f t="shared" si="2"/>
        <v>#VALUE!</v>
      </c>
      <c r="S15" s="71" t="e">
        <f t="shared" si="2"/>
        <v>#VALUE!</v>
      </c>
      <c r="T15" s="71" t="e">
        <f t="shared" si="2"/>
        <v>#VALUE!</v>
      </c>
      <c r="U15" s="71" t="e">
        <f t="shared" si="2"/>
        <v>#VALUE!</v>
      </c>
      <c r="V15" s="71" t="e">
        <f t="shared" si="2"/>
        <v>#VALUE!</v>
      </c>
      <c r="W15" s="71" t="e">
        <f t="shared" si="2"/>
        <v>#VALUE!</v>
      </c>
      <c r="X15" s="71" t="e">
        <f t="shared" si="2"/>
        <v>#VALUE!</v>
      </c>
      <c r="Y15" s="71" t="e">
        <f t="shared" si="2"/>
        <v>#VALUE!</v>
      </c>
      <c r="Z15" s="71" t="e">
        <f t="shared" si="2"/>
        <v>#VALUE!</v>
      </c>
      <c r="AA15" s="71" t="e">
        <f t="shared" si="2"/>
        <v>#VALUE!</v>
      </c>
      <c r="AB15" s="71" t="e">
        <f t="shared" si="2"/>
        <v>#VALUE!</v>
      </c>
      <c r="AC15" s="71" t="e">
        <f t="shared" si="2"/>
        <v>#VALUE!</v>
      </c>
      <c r="AD15" s="71" t="e">
        <f t="shared" si="2"/>
        <v>#VALUE!</v>
      </c>
      <c r="AE15" s="71" t="e">
        <f t="shared" si="2"/>
        <v>#VALUE!</v>
      </c>
      <c r="AF15" s="71" t="e">
        <f t="shared" si="2"/>
        <v>#VALUE!</v>
      </c>
      <c r="AG15" s="71" t="e">
        <f t="shared" si="2"/>
        <v>#VALUE!</v>
      </c>
      <c r="AH15" s="71" t="e">
        <f t="shared" si="2"/>
        <v>#VALUE!</v>
      </c>
      <c r="AI15" s="71" t="e">
        <f t="shared" si="2"/>
        <v>#VALUE!</v>
      </c>
      <c r="AJ15" s="71" t="e">
        <f t="shared" si="2"/>
        <v>#VALUE!</v>
      </c>
      <c r="AK15" s="71" t="e">
        <f t="shared" ref="AK15:BB15" si="3">SUM(AK12,AK13,AK14)</f>
        <v>#VALUE!</v>
      </c>
      <c r="AL15" s="71" t="e">
        <f t="shared" si="3"/>
        <v>#VALUE!</v>
      </c>
      <c r="AM15" s="71" t="e">
        <f t="shared" si="3"/>
        <v>#VALUE!</v>
      </c>
      <c r="AN15" s="71" t="e">
        <f t="shared" si="3"/>
        <v>#VALUE!</v>
      </c>
      <c r="AO15" s="71" t="e">
        <f t="shared" si="3"/>
        <v>#VALUE!</v>
      </c>
      <c r="AP15" s="71" t="e">
        <f t="shared" si="3"/>
        <v>#VALUE!</v>
      </c>
      <c r="AQ15" s="71" t="e">
        <f t="shared" si="3"/>
        <v>#VALUE!</v>
      </c>
      <c r="AR15" s="71" t="e">
        <f t="shared" si="3"/>
        <v>#VALUE!</v>
      </c>
      <c r="AS15" s="71" t="e">
        <f t="shared" si="3"/>
        <v>#VALUE!</v>
      </c>
      <c r="AT15" s="71" t="e">
        <f t="shared" si="3"/>
        <v>#VALUE!</v>
      </c>
      <c r="AU15" s="71" t="e">
        <f t="shared" si="3"/>
        <v>#VALUE!</v>
      </c>
      <c r="AV15" s="71" t="e">
        <f t="shared" si="3"/>
        <v>#VALUE!</v>
      </c>
      <c r="AW15" s="71" t="e">
        <f t="shared" si="3"/>
        <v>#VALUE!</v>
      </c>
      <c r="AX15" s="71" t="e">
        <f t="shared" si="3"/>
        <v>#VALUE!</v>
      </c>
      <c r="AY15" s="71" t="e">
        <f t="shared" si="3"/>
        <v>#VALUE!</v>
      </c>
      <c r="AZ15" s="71" t="e">
        <f t="shared" si="3"/>
        <v>#VALUE!</v>
      </c>
      <c r="BA15" s="71" t="e">
        <f t="shared" si="3"/>
        <v>#VALUE!</v>
      </c>
      <c r="BB15" s="71" t="e">
        <f t="shared" si="3"/>
        <v>#VALUE!</v>
      </c>
    </row>
    <row r="16" spans="2:54" x14ac:dyDescent="0.3"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</row>
    <row r="17" spans="4:54" x14ac:dyDescent="0.3">
      <c r="D17" t="s">
        <v>65</v>
      </c>
      <c r="E17" s="57">
        <f>F3</f>
        <v>700</v>
      </c>
      <c r="F17" s="57">
        <f>IF(F13&lt;&gt;"",E17*(1+'Åtgärdslista Nuvärde'!$D$7),"")</f>
        <v>714</v>
      </c>
      <c r="G17" s="57">
        <f>IF(G13&lt;&gt;"",F17*(1+'Åtgärdslista Nuvärde'!$D$7),"")</f>
        <v>728.28</v>
      </c>
      <c r="H17" s="57">
        <f>IF(H13&lt;&gt;"",G17*(1+'Åtgärdslista Nuvärde'!$D$7),"")</f>
        <v>742.84559999999999</v>
      </c>
      <c r="I17" s="57">
        <f>IF(I13&lt;&gt;"",H17*(1+'Åtgärdslista Nuvärde'!$D$7),"")</f>
        <v>757.70251199999996</v>
      </c>
      <c r="J17" s="57">
        <f>IF(J13&lt;&gt;"",I17*(1+'Åtgärdslista Nuvärde'!$D$7),"")</f>
        <v>772.85656224000002</v>
      </c>
      <c r="K17" s="57">
        <f>IF(K13&lt;&gt;"",J17*(1+'Åtgärdslista Nuvärde'!$D$7),"")</f>
        <v>788.31369348480007</v>
      </c>
      <c r="L17" s="57">
        <f>IF(L13&lt;&gt;"",K17*(1+'Åtgärdslista Nuvärde'!$D$7),"")</f>
        <v>804.07996735449603</v>
      </c>
      <c r="M17" s="57">
        <f>IF(M13&lt;&gt;"",L17*(1+'Åtgärdslista Nuvärde'!$D$7),"")</f>
        <v>820.16156670158603</v>
      </c>
      <c r="N17" s="57">
        <f>IF(N13&lt;&gt;"",M17*(1+'Åtgärdslista Nuvärde'!$D$7),"")</f>
        <v>836.56479803561774</v>
      </c>
      <c r="O17" s="57" t="str">
        <f>IF(O13&lt;&gt;"",N17*(1+'Åtgärdslista Nuvärde'!$D$7),"")</f>
        <v/>
      </c>
      <c r="P17" s="57" t="str">
        <f>IF(P13&lt;&gt;"",O17*(1+'Åtgärdslista Nuvärde'!$D$7),"")</f>
        <v/>
      </c>
      <c r="Q17" s="57" t="str">
        <f>IF(Q13&lt;&gt;"",P17*(1+'Åtgärdslista Nuvärde'!$D$7),"")</f>
        <v/>
      </c>
      <c r="R17" s="57" t="str">
        <f>IF(R13&lt;&gt;"",Q17*(1+'Åtgärdslista Nuvärde'!$D$7),"")</f>
        <v/>
      </c>
      <c r="S17" s="57" t="str">
        <f>IF(S13&lt;&gt;"",R17*(1+'Åtgärdslista Nuvärde'!$D$7),"")</f>
        <v/>
      </c>
      <c r="T17" s="57" t="str">
        <f>IF(T13&lt;&gt;"",S17*(1+'Åtgärdslista Nuvärde'!$D$7),"")</f>
        <v/>
      </c>
      <c r="U17" s="57" t="str">
        <f>IF(U13&lt;&gt;"",T17*(1+'Åtgärdslista Nuvärde'!$D$7),"")</f>
        <v/>
      </c>
      <c r="V17" s="57" t="str">
        <f>IF(V13&lt;&gt;"",U17*(1+'Åtgärdslista Nuvärde'!$D$7),"")</f>
        <v/>
      </c>
      <c r="W17" s="57" t="str">
        <f>IF(W13&lt;&gt;"",V17*(1+'Åtgärdslista Nuvärde'!$D$7),"")</f>
        <v/>
      </c>
      <c r="X17" s="57" t="str">
        <f>IF(X13&lt;&gt;"",W17*(1+'Åtgärdslista Nuvärde'!$D$7),"")</f>
        <v/>
      </c>
      <c r="Y17" s="57" t="str">
        <f>IF(Y13&lt;&gt;"",X17*(1+'Åtgärdslista Nuvärde'!$D$7),"")</f>
        <v/>
      </c>
      <c r="Z17" s="57" t="str">
        <f>IF(Z13&lt;&gt;"",Y17*(1+'Åtgärdslista Nuvärde'!$D$7),"")</f>
        <v/>
      </c>
      <c r="AA17" s="57" t="str">
        <f>IF(AA13&lt;&gt;"",Z17*(1+'Åtgärdslista Nuvärde'!$D$7),"")</f>
        <v/>
      </c>
      <c r="AB17" s="57" t="str">
        <f>IF(AB13&lt;&gt;"",AA17*(1+'Åtgärdslista Nuvärde'!$D$7),"")</f>
        <v/>
      </c>
      <c r="AC17" s="57" t="str">
        <f>IF(AC13&lt;&gt;"",AB17*(1+'Åtgärdslista Nuvärde'!$D$7),"")</f>
        <v/>
      </c>
      <c r="AD17" s="57" t="str">
        <f>IF(AD13&lt;&gt;"",AC17*(1+'Åtgärdslista Nuvärde'!$D$7),"")</f>
        <v/>
      </c>
      <c r="AE17" s="57" t="str">
        <f>IF(AE13&lt;&gt;"",AD17*(1+'Åtgärdslista Nuvärde'!$D$7),"")</f>
        <v/>
      </c>
      <c r="AF17" s="57" t="str">
        <f>IF(AF13&lt;&gt;"",AE17*(1+'Åtgärdslista Nuvärde'!$D$7),"")</f>
        <v/>
      </c>
      <c r="AG17" s="57" t="str">
        <f>IF(AG13&lt;&gt;"",AF17*(1+'Åtgärdslista Nuvärde'!$D$7),"")</f>
        <v/>
      </c>
      <c r="AH17" s="57" t="str">
        <f>IF(AH13&lt;&gt;"",AG17*(1+'Åtgärdslista Nuvärde'!$D$7),"")</f>
        <v/>
      </c>
      <c r="AI17" s="57" t="str">
        <f>IF(AI13&lt;&gt;"",AH17*(1+'Åtgärdslista Nuvärde'!$D$7),"")</f>
        <v/>
      </c>
      <c r="AJ17" s="57" t="str">
        <f>IF(AJ13&lt;&gt;"",AI17*(1+'Åtgärdslista Nuvärde'!$D$7),"")</f>
        <v/>
      </c>
      <c r="AK17" s="57" t="str">
        <f>IF(AK13&lt;&gt;"",AJ17*(1+'Åtgärdslista Nuvärde'!$D$7),"")</f>
        <v/>
      </c>
      <c r="AL17" s="57" t="str">
        <f>IF(AL13&lt;&gt;"",AK17*(1+'Åtgärdslista Nuvärde'!$D$7),"")</f>
        <v/>
      </c>
      <c r="AM17" s="57" t="str">
        <f>IF(AM13&lt;&gt;"",AL17*(1+'Åtgärdslista Nuvärde'!$D$7),"")</f>
        <v/>
      </c>
      <c r="AN17" s="57" t="str">
        <f>IF(AN13&lt;&gt;"",AM17*(1+'Åtgärdslista Nuvärde'!$D$7),"")</f>
        <v/>
      </c>
      <c r="AO17" s="57" t="str">
        <f>IF(AO13&lt;&gt;"",AN17*(1+'Åtgärdslista Nuvärde'!$D$7),"")</f>
        <v/>
      </c>
      <c r="AP17" s="57" t="str">
        <f>IF(AP13&lt;&gt;"",AO17*(1+'Åtgärdslista Nuvärde'!$D$7),"")</f>
        <v/>
      </c>
      <c r="AQ17" s="57" t="str">
        <f>IF(AQ13&lt;&gt;"",AP17*(1+'Åtgärdslista Nuvärde'!$D$7),"")</f>
        <v/>
      </c>
      <c r="AR17" s="57" t="str">
        <f>IF(AR13&lt;&gt;"",AQ17*(1+'Åtgärdslista Nuvärde'!$D$7),"")</f>
        <v/>
      </c>
      <c r="AS17" s="57" t="str">
        <f>IF(AS13&lt;&gt;"",AR17*(1+'Åtgärdslista Nuvärde'!$D$7),"")</f>
        <v/>
      </c>
      <c r="AT17" s="57" t="str">
        <f>IF(AT13&lt;&gt;"",AS17*(1+'Åtgärdslista Nuvärde'!$D$7),"")</f>
        <v/>
      </c>
      <c r="AU17" s="57" t="str">
        <f>IF(AU13&lt;&gt;"",AT17*(1+'Åtgärdslista Nuvärde'!$D$7),"")</f>
        <v/>
      </c>
      <c r="AV17" s="57" t="str">
        <f>IF(AV13&lt;&gt;"",AU17*(1+'Åtgärdslista Nuvärde'!$D$7),"")</f>
        <v/>
      </c>
      <c r="AW17" s="57" t="str">
        <f>IF(AW13&lt;&gt;"",AV17*(1+'Åtgärdslista Nuvärde'!$D$7),"")</f>
        <v/>
      </c>
      <c r="AX17" s="57" t="str">
        <f>IF(AX13&lt;&gt;"",AW17*(1+'Åtgärdslista Nuvärde'!$D$7),"")</f>
        <v/>
      </c>
      <c r="AY17" s="57" t="str">
        <f>IF(AY13&lt;&gt;"",AX17*(1+'Åtgärdslista Nuvärde'!$D$7),"")</f>
        <v/>
      </c>
      <c r="AZ17" s="57" t="str">
        <f>IF(AZ13&lt;&gt;"",AY17*(1+'Åtgärdslista Nuvärde'!$D$7),"")</f>
        <v/>
      </c>
      <c r="BA17" s="57" t="str">
        <f>IF(BA13&lt;&gt;"",AZ17*(1+'Åtgärdslista Nuvärde'!$D$7),"")</f>
        <v/>
      </c>
      <c r="BB17" s="57" t="str">
        <f>IF(BB13&lt;&gt;"",BA17*(1+'Åtgärdslista Nuvärde'!$D$7),"")</f>
        <v/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E72D334B85884E94DDBC1149B59F65" ma:contentTypeVersion="1" ma:contentTypeDescription="Create a new document." ma:contentTypeScope="" ma:versionID="c8aa67078e8f0f28fb350338c77bdc9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21803D-1926-4758-A9D1-66F81B7A296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e6ec678c-9e7a-45b6-879d-42b5de9d141d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E87E59A-DB71-4349-A0B9-FE01766D09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EF0F31-A510-49AD-AB8C-E567293B7F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Åtgärdslista</vt:lpstr>
      <vt:lpstr>Åtgärdslista Nuvärde</vt:lpstr>
      <vt:lpstr>Nuvärdesberäkning år</vt:lpstr>
      <vt:lpstr>Instruktioner</vt:lpstr>
      <vt:lpstr>Stor bild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Lindgren Olle</dc:creator>
  <cp:lastModifiedBy>Marit</cp:lastModifiedBy>
  <dcterms:created xsi:type="dcterms:W3CDTF">2018-01-04T07:25:33Z</dcterms:created>
  <dcterms:modified xsi:type="dcterms:W3CDTF">2020-09-11T21:41:03Z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0x0101003AE72D334B85884E94DDBC1149B59F65</vt:lpwstr>
  </property>
</Properties>
</file>