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codeName="TämäTyökirja"/>
  <mc:AlternateContent xmlns:mc="http://schemas.openxmlformats.org/markup-compatibility/2006">
    <mc:Choice Requires="x15">
      <x15ac:absPath xmlns:x15ac="http://schemas.microsoft.com/office/spreadsheetml/2010/11/ac" url="Z:\Ymparistotoimi\Projektit\Ilmasto ja Energia 2015 -\EFFECT4buildings\White papers\Financial calculation tool\Toolbox\Toolbox numeroitu\"/>
    </mc:Choice>
  </mc:AlternateContent>
  <xr:revisionPtr revIDLastSave="0" documentId="13_ncr:1_{C7FBBE5F-51F0-4EFB-9053-F49946FDD829}" xr6:coauthVersionLast="45" xr6:coauthVersionMax="45" xr10:uidLastSave="{00000000-0000-0000-0000-000000000000}"/>
  <bookViews>
    <workbookView xWindow="-120" yWindow="-120" windowWidth="29040" windowHeight="15840" firstSheet="1" activeTab="1" xr2:uid="{00000000-000D-0000-FFFF-FFFF00000000}"/>
  </bookViews>
  <sheets>
    <sheet name="Decrease energy and costs" sheetId="1" state="hidden" r:id="rId1"/>
    <sheet name="1. Guidance for using tool" sheetId="38" r:id="rId2"/>
    <sheet name="2. Inputs and results" sheetId="17" r:id="rId3"/>
    <sheet name="Ventilation system" sheetId="42" state="hidden" r:id="rId4"/>
    <sheet name="Cooling system" sheetId="41" state="hidden" r:id="rId5"/>
    <sheet name="Type of building" sheetId="40" state="hidden" r:id="rId6"/>
    <sheet name="3. Package of Charts" sheetId="39" r:id="rId7"/>
    <sheet name="4. Cash flow " sheetId="31" r:id="rId8"/>
    <sheet name="5. NPV" sheetId="30" r:id="rId9"/>
    <sheet name="5. Return on investment" sheetId="33" state="hidden" r:id="rId10"/>
    <sheet name="6. Pay back time" sheetId="28" r:id="rId11"/>
    <sheet name="7. Change of CO2 emissions" sheetId="25" r:id="rId12"/>
    <sheet name="Change log (hidden)" sheetId="34" state="hidden" r:id="rId13"/>
    <sheet name="Heating system (hidden)" sheetId="35" state="hidden" r:id="rId14"/>
    <sheet name="Solution 1, (hidden)" sheetId="11" state="hidden" r:id="rId15"/>
    <sheet name="Solution  2, (hidden)" sheetId="19" state="hidden" r:id="rId16"/>
    <sheet name="Solution 1, (hidden) (2)" sheetId="36" state="hidden" r:id="rId17"/>
    <sheet name="Solution  2, (hidden) (2)" sheetId="37" state="hidden" r:id="rId18"/>
  </sheets>
  <definedNames>
    <definedName name="Cashflow_1">OFFSET('4. Cash flow '!$F$12,0,0,COUNT('4. Cash flow '!$F:$F))</definedName>
    <definedName name="Cashflow_1_ep_change2">OFFSET('4. Cash flow '!$J$12,0,0,COUNT('4. Cash flow '!$J:$J))</definedName>
    <definedName name="Cashflow_1ep_change">OFFSET('4. Cash flow '!$H$12,0,0,COUNT('4. Cash flow '!$H:$H))</definedName>
    <definedName name="Cashflow_2">OFFSET('4. Cash flow '!$G$12,0,0,COUNT('4. Cash flow '!$G:$G))</definedName>
    <definedName name="Cashflow_2ep_change">OFFSET('4. Cash flow '!$I$12,0,0,COUNT('4. Cash flow '!$I:$I))</definedName>
    <definedName name="Cashflow_2ep_change2">OFFSET('4. Cash flow '!$K$12,0,0,COUNT('4. Cash flow '!$K:$K))</definedName>
    <definedName name="CO2_1">OFFSET('7. Change of CO2 emissions'!$F$13,0,0,COUNT('7. Change of CO2 emissions'!$F:$F))</definedName>
    <definedName name="CO2_2">OFFSET('7. Change of CO2 emissions'!$G$13,0,0,COUNT('7. Change of CO2 emissions'!$G:$G))</definedName>
    <definedName name="NPV_1">OFFSET('5. NPV'!$F$12,0,0,COUNT('5. NPV'!$F:$F))</definedName>
    <definedName name="NPV_1ep_change">OFFSET('5. NPV'!$H$12,0,0,COUNT('5. NPV'!$H:$H))</definedName>
    <definedName name="NPV_1ep_change2">OFFSET('5. NPV'!$J$12,0,0,COUNT('5. NPV'!$J:$J))</definedName>
    <definedName name="NPV_2">OFFSET('5. NPV'!$G$12,0,0,COUNT('5. NPV'!$G:$G))</definedName>
    <definedName name="NPV_2ep_change">OFFSET('5. NPV'!$I$12,0,0,COUNT('5. NPV'!$I:$I))</definedName>
    <definedName name="NPV_2ep_change2">OFFSET('5. NPV'!$K$12,0,0,COUNT('5. NPV'!$K:$K))</definedName>
    <definedName name="Payback_1">OFFSET('6. Pay back time'!$H$14,0,0,COUNT('6. Pay back time'!$H:$H))</definedName>
    <definedName name="Payback_1_invest">OFFSET('6. Pay back time'!$F$14,0,0,COUNT('6. Pay back time'!$F:$F))</definedName>
    <definedName name="Payback_1ep_change">OFFSET('6. Pay back time'!$J$14,0,0,COUNT('6. Pay back time'!$J:$J))</definedName>
    <definedName name="Payback_1ep_change2">OFFSET('6. Pay back time'!$L$14,0,0,COUNT('6. Pay back time'!$L:$L))</definedName>
    <definedName name="Payback_2">OFFSET('6. Pay back time'!$I$14,0,0,COUNT('6. Pay back time'!$I:$I))</definedName>
    <definedName name="Payback_2_invest">OFFSET('6. Pay back time'!$G$14,0,0,COUNT('6. Pay back time'!$G:$G))</definedName>
    <definedName name="Payback_2ep_change">OFFSET('6. Pay back time'!$K$14,0,0,COUNT('6. Pay back time'!$K:$K))</definedName>
    <definedName name="Payback_2ep_change2">OFFSET('6. Pay back time'!$M$14,0,0,COUNT('6. Pay back time'!$M:$M))</definedName>
    <definedName name="Return_on_investment_1">OFFSET('5. Return on investment'!$K$4,0,0,COUNT('5. Return on investment'!$K:$K))</definedName>
    <definedName name="Return_on_investment_1ep_change">OFFSET('5. Return on investment'!$M$4,0,0,COUNT('5. Return on investment'!$M:$M))</definedName>
    <definedName name="Return_on_investment_2">OFFSET('5. Return on investment'!$L$4,0,0,COUNT('5. Return on investment'!$L:$L))</definedName>
    <definedName name="Return_on_investment_2ep_change">OFFSET('5. Return on investment'!$N$4,0,0,COUNT('5. Return on investment'!$N:$N))</definedName>
    <definedName name="_xlnm.Print_Area" localSheetId="1">'1. Guidance for using tool'!$A$1:$Q$110</definedName>
    <definedName name="_xlnm.Print_Area" localSheetId="2">'2. Inputs and results'!$A$1:$C$160</definedName>
    <definedName name="_xlnm.Print_Area" localSheetId="6">'3. Package of Charts'!$A$1:$J$104</definedName>
    <definedName name="Year_1Cf">OFFSET('4. Cash flow '!$C$12,0,0,COUNT('4. Cash flow '!$C:$C))</definedName>
    <definedName name="Year_1CO2">OFFSET('7. Change of CO2 emissions'!$C$13,0,0,COUNT('7. Change of CO2 emissions'!$C:$C))</definedName>
    <definedName name="Year_1NPV">OFFSET('5. NPV'!$C$12,0,0,COUNT('5. NPV'!$C:$C))</definedName>
    <definedName name="Year_1Payback">OFFSET('6. Pay back time'!$C$14,0,0,COUNT('6. Pay back time'!$C:$C))</definedName>
    <definedName name="Year_1Return_on_investment">OFFSET('5. Return on investment'!$H$4,0,0,COUNT('5. Return on investment'!$H:$H))</definedName>
    <definedName name="Year_2Cf">OFFSET('4. Cash flow '!$D$12,0,0,COUNT('4. Cash flow '!$D:$D))</definedName>
    <definedName name="Year_2CO2">OFFSET('7. Change of CO2 emissions'!$D$13,0,0,COUNT('7. Change of CO2 emissions'!$D:$D))</definedName>
    <definedName name="Year_2NPV">OFFSET('5. NPV'!$D$12,0,0,COUNT('5. NPV'!$D:$D))</definedName>
    <definedName name="Year_2payback">OFFSET('6. Pay back time'!$D$14,0,0,COUNT('6. Pay back time'!$D:$D))</definedName>
    <definedName name="Year_2Return_on_investment">OFFSET('5. Return on investment'!$I$4,0,0,COUNT('5. Return on investment'!$I:$I))</definedName>
    <definedName name="Year_cf_biggest">OFFSET('4. Cash flow '!$E$12,0,0,COUNT('4. Cash flow '!$E:$E))</definedName>
    <definedName name="Year_CO2_biggest">OFFSET('7. Change of CO2 emissions'!$E$13,0,0,COUNT('7. Change of CO2 emissions'!$E:$E))</definedName>
    <definedName name="Year_NPV_biggest">OFFSET('5. NPV'!$E$12,0,0,COUNT('5. NPV'!$E:$E))</definedName>
    <definedName name="Year_paybacktime_biggest">OFFSET('6. Pay back time'!$E$14,0,0,COUNT('6. Pay back time'!$E:$E))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7" l="1"/>
  <c r="C23" i="17" l="1"/>
  <c r="B23" i="17"/>
  <c r="C91" i="17"/>
  <c r="B91" i="17"/>
  <c r="C25" i="17"/>
  <c r="B25" i="17"/>
  <c r="C37" i="17"/>
  <c r="B37" i="17"/>
  <c r="C49" i="17"/>
  <c r="B49" i="17"/>
  <c r="C61" i="17"/>
  <c r="B61" i="17"/>
  <c r="C83" i="17"/>
  <c r="B83" i="17"/>
  <c r="C71" i="17"/>
  <c r="B71" i="17"/>
  <c r="C106" i="17" l="1"/>
  <c r="B106" i="17"/>
  <c r="C114" i="17"/>
  <c r="B114" i="17"/>
  <c r="C119" i="17"/>
  <c r="B119" i="17"/>
  <c r="C129" i="17"/>
  <c r="B129" i="17"/>
  <c r="C137" i="17"/>
  <c r="B137" i="17"/>
  <c r="C123" i="17" l="1"/>
  <c r="C127" i="17" s="1"/>
  <c r="B123" i="17"/>
  <c r="B127" i="17" s="1"/>
  <c r="B131" i="17" l="1"/>
  <c r="C121" i="17" l="1"/>
  <c r="B121" i="17"/>
  <c r="C101" i="17"/>
  <c r="B101" i="17"/>
  <c r="C97" i="17"/>
  <c r="B97" i="17"/>
  <c r="B93" i="17"/>
  <c r="C95" i="17"/>
  <c r="B95" i="17"/>
  <c r="C93" i="17"/>
  <c r="F10" i="31" l="1"/>
  <c r="B2" i="39" l="1"/>
  <c r="B2" i="31"/>
  <c r="B2" i="30"/>
  <c r="B2" i="28"/>
  <c r="B4" i="39"/>
  <c r="B6" i="39"/>
  <c r="B7" i="39"/>
  <c r="B8" i="39"/>
  <c r="K5" i="37" l="1"/>
  <c r="K5" i="36"/>
  <c r="K5" i="11"/>
  <c r="J6" i="37"/>
  <c r="J6" i="19" l="1"/>
  <c r="J6" i="11"/>
  <c r="J6" i="36"/>
  <c r="B8" i="25"/>
  <c r="B7" i="25"/>
  <c r="B6" i="25"/>
  <c r="B4" i="25"/>
  <c r="B2" i="25"/>
  <c r="B8" i="28"/>
  <c r="B7" i="28"/>
  <c r="B6" i="28"/>
  <c r="B4" i="28"/>
  <c r="B8" i="30"/>
  <c r="B7" i="30"/>
  <c r="B6" i="30"/>
  <c r="B4" i="30"/>
  <c r="B8" i="31"/>
  <c r="B7" i="31"/>
  <c r="B6" i="31"/>
  <c r="B4" i="31"/>
  <c r="F10" i="30"/>
  <c r="G10" i="30"/>
  <c r="H10" i="30"/>
  <c r="I10" i="30"/>
  <c r="J10" i="30"/>
  <c r="K10" i="30"/>
  <c r="B108" i="17" l="1"/>
  <c r="C108" i="17"/>
  <c r="M2" i="33" l="1"/>
  <c r="K2" i="33"/>
  <c r="N2" i="33"/>
  <c r="L2" i="33"/>
  <c r="G12" i="25"/>
  <c r="M13" i="28"/>
  <c r="K13" i="28"/>
  <c r="I13" i="28"/>
  <c r="G13" i="28"/>
  <c r="K10" i="31"/>
  <c r="I10" i="31"/>
  <c r="E33" i="39" l="1"/>
  <c r="E86" i="39"/>
  <c r="A86" i="39"/>
  <c r="E55" i="39"/>
  <c r="A55" i="39"/>
  <c r="A33" i="39"/>
  <c r="E11" i="39"/>
  <c r="A11" i="39"/>
  <c r="F12" i="25" l="1"/>
  <c r="L13" i="28"/>
  <c r="J13" i="28"/>
  <c r="H13" i="28"/>
  <c r="F13" i="28"/>
  <c r="J10" i="31"/>
  <c r="H10" i="31"/>
  <c r="G10" i="31"/>
  <c r="V6" i="37"/>
  <c r="L6" i="37"/>
  <c r="A6" i="37"/>
  <c r="AC5" i="37"/>
  <c r="AA5" i="37"/>
  <c r="L5" i="37"/>
  <c r="M14" i="28"/>
  <c r="D5" i="37"/>
  <c r="B5" i="37"/>
  <c r="P2" i="37"/>
  <c r="V6" i="36"/>
  <c r="L6" i="36"/>
  <c r="A6" i="36"/>
  <c r="A7" i="36" s="1"/>
  <c r="J7" i="36" s="1"/>
  <c r="AC5" i="36"/>
  <c r="AA5" i="36"/>
  <c r="L5" i="36"/>
  <c r="W5" i="36" s="1"/>
  <c r="Z5" i="36" s="1"/>
  <c r="L14" i="28"/>
  <c r="D5" i="36"/>
  <c r="B5" i="36"/>
  <c r="P2" i="36"/>
  <c r="O6" i="37" l="1"/>
  <c r="AB5" i="37"/>
  <c r="R5" i="36"/>
  <c r="AB5" i="36"/>
  <c r="AD5" i="36"/>
  <c r="A7" i="37"/>
  <c r="J7" i="37" s="1"/>
  <c r="B6" i="37"/>
  <c r="M6" i="37"/>
  <c r="N6" i="37" s="1"/>
  <c r="R5" i="37"/>
  <c r="W5" i="37"/>
  <c r="Z5" i="37" s="1"/>
  <c r="AD5" i="37"/>
  <c r="V7" i="36"/>
  <c r="B7" i="36"/>
  <c r="A8" i="36"/>
  <c r="J8" i="36" s="1"/>
  <c r="M7" i="36"/>
  <c r="N7" i="36" s="1"/>
  <c r="L7" i="36"/>
  <c r="B6" i="36"/>
  <c r="O6" i="36"/>
  <c r="O7" i="36" s="1"/>
  <c r="S6" i="36"/>
  <c r="T6" i="36" s="1"/>
  <c r="X6" i="36"/>
  <c r="Y6" i="36" s="1"/>
  <c r="M6" i="36"/>
  <c r="N6" i="36" s="1"/>
  <c r="J4" i="33"/>
  <c r="U5" i="36" l="1"/>
  <c r="J12" i="31"/>
  <c r="U5" i="37"/>
  <c r="K12" i="31"/>
  <c r="X6" i="37"/>
  <c r="Y6" i="37" s="1"/>
  <c r="A8" i="37"/>
  <c r="J8" i="37" s="1"/>
  <c r="M7" i="37"/>
  <c r="N7" i="37" s="1"/>
  <c r="L7" i="37"/>
  <c r="B7" i="37"/>
  <c r="V7" i="37"/>
  <c r="O7" i="37"/>
  <c r="S6" i="37"/>
  <c r="T6" i="37" s="1"/>
  <c r="O8" i="36"/>
  <c r="B8" i="36"/>
  <c r="V8" i="36"/>
  <c r="L8" i="36"/>
  <c r="A9" i="36"/>
  <c r="J9" i="36" s="1"/>
  <c r="M8" i="36"/>
  <c r="N8" i="36" s="1"/>
  <c r="AA5" i="19"/>
  <c r="K5" i="19"/>
  <c r="K14" i="28" s="1"/>
  <c r="AA5" i="11"/>
  <c r="AE8" i="36"/>
  <c r="AF8" i="36" s="1"/>
  <c r="K12" i="30" l="1"/>
  <c r="J12" i="30"/>
  <c r="Q12" i="31"/>
  <c r="P12" i="31"/>
  <c r="AE5" i="37"/>
  <c r="AF5" i="37" s="1"/>
  <c r="AE6" i="37"/>
  <c r="AF6" i="37" s="1"/>
  <c r="AE5" i="36"/>
  <c r="AF5" i="36" s="1"/>
  <c r="AE7" i="36"/>
  <c r="AF7" i="36" s="1"/>
  <c r="AE6" i="36"/>
  <c r="AF6" i="36" s="1"/>
  <c r="AE7" i="37"/>
  <c r="AF7" i="37" s="1"/>
  <c r="H6" i="11"/>
  <c r="H6" i="36"/>
  <c r="H7" i="36" s="1"/>
  <c r="H6" i="19"/>
  <c r="H6" i="37"/>
  <c r="H7" i="37" s="1"/>
  <c r="V8" i="37"/>
  <c r="M8" i="37"/>
  <c r="N8" i="37" s="1"/>
  <c r="B8" i="37"/>
  <c r="O8" i="37"/>
  <c r="A9" i="37"/>
  <c r="J9" i="37" s="1"/>
  <c r="L8" i="37"/>
  <c r="AE8" i="37"/>
  <c r="AF8" i="37" s="1"/>
  <c r="L9" i="36"/>
  <c r="M9" i="36"/>
  <c r="N9" i="36" s="1"/>
  <c r="AE9" i="36"/>
  <c r="AF9" i="36" s="1"/>
  <c r="O9" i="36"/>
  <c r="B9" i="36"/>
  <c r="V9" i="36"/>
  <c r="A10" i="36"/>
  <c r="J10" i="36" s="1"/>
  <c r="H8" i="37" l="1"/>
  <c r="H8" i="36"/>
  <c r="AE9" i="37"/>
  <c r="AF9" i="37" s="1"/>
  <c r="O9" i="37"/>
  <c r="B9" i="37"/>
  <c r="A10" i="37"/>
  <c r="J10" i="37" s="1"/>
  <c r="L9" i="37"/>
  <c r="M9" i="37"/>
  <c r="N9" i="37" s="1"/>
  <c r="V9" i="37"/>
  <c r="A11" i="36"/>
  <c r="J11" i="36" s="1"/>
  <c r="M10" i="36"/>
  <c r="N10" i="36" s="1"/>
  <c r="L10" i="36"/>
  <c r="AE10" i="36"/>
  <c r="AF10" i="36" s="1"/>
  <c r="O10" i="36"/>
  <c r="B10" i="36"/>
  <c r="V10" i="36"/>
  <c r="H9" i="37" l="1"/>
  <c r="H9" i="36"/>
  <c r="L10" i="37"/>
  <c r="AE10" i="37"/>
  <c r="AF10" i="37" s="1"/>
  <c r="O10" i="37"/>
  <c r="V10" i="37"/>
  <c r="M10" i="37"/>
  <c r="N10" i="37" s="1"/>
  <c r="A11" i="37"/>
  <c r="J11" i="37" s="1"/>
  <c r="B10" i="37"/>
  <c r="V11" i="36"/>
  <c r="A12" i="36"/>
  <c r="J12" i="36" s="1"/>
  <c r="M11" i="36"/>
  <c r="N11" i="36" s="1"/>
  <c r="L11" i="36"/>
  <c r="B11" i="36"/>
  <c r="AE11" i="36"/>
  <c r="AF11" i="36" s="1"/>
  <c r="O11" i="36"/>
  <c r="H10" i="37" l="1"/>
  <c r="H10" i="36"/>
  <c r="A12" i="37"/>
  <c r="J12" i="37" s="1"/>
  <c r="M11" i="37"/>
  <c r="N11" i="37" s="1"/>
  <c r="V11" i="37"/>
  <c r="L11" i="37"/>
  <c r="O11" i="37"/>
  <c r="AE11" i="37"/>
  <c r="AF11" i="37" s="1"/>
  <c r="B11" i="37"/>
  <c r="AE12" i="36"/>
  <c r="AF12" i="36" s="1"/>
  <c r="O12" i="36"/>
  <c r="B12" i="36"/>
  <c r="V12" i="36"/>
  <c r="A13" i="36"/>
  <c r="J13" i="36" s="1"/>
  <c r="M12" i="36"/>
  <c r="N12" i="36" s="1"/>
  <c r="L12" i="36"/>
  <c r="B5" i="19"/>
  <c r="B5" i="11"/>
  <c r="C12" i="30" s="1"/>
  <c r="E12" i="30" l="1"/>
  <c r="D12" i="30"/>
  <c r="E12" i="31"/>
  <c r="H11" i="37"/>
  <c r="H11" i="36"/>
  <c r="V12" i="37"/>
  <c r="A13" i="37"/>
  <c r="J13" i="37" s="1"/>
  <c r="L12" i="37"/>
  <c r="AE12" i="37"/>
  <c r="AF12" i="37" s="1"/>
  <c r="B12" i="37"/>
  <c r="M12" i="37"/>
  <c r="N12" i="37" s="1"/>
  <c r="O12" i="37"/>
  <c r="L13" i="36"/>
  <c r="AE13" i="36"/>
  <c r="AF13" i="36" s="1"/>
  <c r="O13" i="36"/>
  <c r="B13" i="36"/>
  <c r="V13" i="36"/>
  <c r="A14" i="36"/>
  <c r="J14" i="36" s="1"/>
  <c r="M13" i="36"/>
  <c r="N13" i="36" s="1"/>
  <c r="I4" i="33"/>
  <c r="D13" i="25"/>
  <c r="D12" i="31"/>
  <c r="D14" i="28"/>
  <c r="H4" i="33"/>
  <c r="C13" i="25"/>
  <c r="C12" i="31"/>
  <c r="C14" i="28"/>
  <c r="E13" i="25"/>
  <c r="E14" i="28"/>
  <c r="H12" i="37" l="1"/>
  <c r="H12" i="36"/>
  <c r="AE13" i="37"/>
  <c r="AF13" i="37" s="1"/>
  <c r="O13" i="37"/>
  <c r="B13" i="37"/>
  <c r="M13" i="37"/>
  <c r="N13" i="37" s="1"/>
  <c r="V13" i="37"/>
  <c r="A14" i="37"/>
  <c r="J14" i="37" s="1"/>
  <c r="L13" i="37"/>
  <c r="A15" i="36"/>
  <c r="J15" i="36" s="1"/>
  <c r="M14" i="36"/>
  <c r="N14" i="36" s="1"/>
  <c r="L14" i="36"/>
  <c r="AE14" i="36"/>
  <c r="AF14" i="36" s="1"/>
  <c r="O14" i="36"/>
  <c r="B14" i="36"/>
  <c r="V14" i="36"/>
  <c r="A6" i="19"/>
  <c r="A6" i="11"/>
  <c r="H13" i="37" l="1"/>
  <c r="H13" i="36"/>
  <c r="L14" i="37"/>
  <c r="B14" i="37"/>
  <c r="M14" i="37"/>
  <c r="N14" i="37" s="1"/>
  <c r="A15" i="37"/>
  <c r="J15" i="37" s="1"/>
  <c r="AE14" i="37"/>
  <c r="AF14" i="37" s="1"/>
  <c r="O14" i="37"/>
  <c r="V14" i="37"/>
  <c r="V15" i="36"/>
  <c r="A16" i="36"/>
  <c r="J16" i="36" s="1"/>
  <c r="M15" i="36"/>
  <c r="N15" i="36" s="1"/>
  <c r="L15" i="36"/>
  <c r="O15" i="36"/>
  <c r="B15" i="36"/>
  <c r="AE15" i="36"/>
  <c r="AF15" i="36" s="1"/>
  <c r="M6" i="11"/>
  <c r="B6" i="11"/>
  <c r="C13" i="30" s="1"/>
  <c r="A7" i="11"/>
  <c r="J7" i="11" s="1"/>
  <c r="B6" i="19"/>
  <c r="M6" i="19"/>
  <c r="A7" i="19"/>
  <c r="J7" i="19" s="1"/>
  <c r="AC5" i="19"/>
  <c r="AC5" i="11"/>
  <c r="H7" i="19" l="1"/>
  <c r="D13" i="30"/>
  <c r="E13" i="30"/>
  <c r="H14" i="37"/>
  <c r="H14" i="36"/>
  <c r="A16" i="37"/>
  <c r="J16" i="37" s="1"/>
  <c r="M15" i="37"/>
  <c r="N15" i="37" s="1"/>
  <c r="O15" i="37"/>
  <c r="B15" i="37"/>
  <c r="AE15" i="37"/>
  <c r="AF15" i="37" s="1"/>
  <c r="L15" i="37"/>
  <c r="V15" i="37"/>
  <c r="AE16" i="36"/>
  <c r="AF16" i="36" s="1"/>
  <c r="O16" i="36"/>
  <c r="B16" i="36"/>
  <c r="V16" i="36"/>
  <c r="A17" i="36"/>
  <c r="J17" i="36" s="1"/>
  <c r="M16" i="36"/>
  <c r="N16" i="36" s="1"/>
  <c r="L16" i="36"/>
  <c r="A8" i="11"/>
  <c r="J8" i="11" s="1"/>
  <c r="H7" i="11"/>
  <c r="B7" i="11"/>
  <c r="C14" i="30" s="1"/>
  <c r="M7" i="11"/>
  <c r="C13" i="31"/>
  <c r="C14" i="25"/>
  <c r="C15" i="28"/>
  <c r="H5" i="33"/>
  <c r="D13" i="31"/>
  <c r="D15" i="28"/>
  <c r="D14" i="25"/>
  <c r="I5" i="33"/>
  <c r="J5" i="33"/>
  <c r="M7" i="19"/>
  <c r="B7" i="19"/>
  <c r="A8" i="19"/>
  <c r="J8" i="19" s="1"/>
  <c r="E14" i="25"/>
  <c r="E13" i="31"/>
  <c r="E15" i="28"/>
  <c r="J14" i="28"/>
  <c r="D5" i="19"/>
  <c r="I14" i="28" s="1"/>
  <c r="D5" i="11"/>
  <c r="H14" i="28" s="1"/>
  <c r="H8" i="19" l="1"/>
  <c r="D14" i="30"/>
  <c r="E14" i="30"/>
  <c r="H15" i="37"/>
  <c r="H15" i="36"/>
  <c r="V16" i="37"/>
  <c r="M16" i="37"/>
  <c r="N16" i="37" s="1"/>
  <c r="B16" i="37"/>
  <c r="AE16" i="37"/>
  <c r="AF16" i="37" s="1"/>
  <c r="L16" i="37"/>
  <c r="A17" i="37"/>
  <c r="J17" i="37" s="1"/>
  <c r="O16" i="37"/>
  <c r="L17" i="36"/>
  <c r="AE17" i="36"/>
  <c r="AF17" i="36" s="1"/>
  <c r="O17" i="36"/>
  <c r="B17" i="36"/>
  <c r="V17" i="36"/>
  <c r="M17" i="36"/>
  <c r="N17" i="36" s="1"/>
  <c r="A18" i="36"/>
  <c r="J18" i="36" s="1"/>
  <c r="H6" i="33"/>
  <c r="C16" i="28"/>
  <c r="C15" i="25"/>
  <c r="C14" i="31"/>
  <c r="A9" i="11"/>
  <c r="J9" i="11" s="1"/>
  <c r="H8" i="11"/>
  <c r="B8" i="11"/>
  <c r="C15" i="30" s="1"/>
  <c r="M8" i="11"/>
  <c r="D14" i="31"/>
  <c r="D15" i="25"/>
  <c r="D16" i="28"/>
  <c r="I6" i="33"/>
  <c r="J6" i="33"/>
  <c r="A9" i="19"/>
  <c r="J9" i="19" s="1"/>
  <c r="M8" i="19"/>
  <c r="B8" i="19"/>
  <c r="E15" i="25"/>
  <c r="E16" i="28"/>
  <c r="E14" i="31"/>
  <c r="L5" i="19"/>
  <c r="L5" i="11"/>
  <c r="AD5" i="11" s="1"/>
  <c r="H9" i="19" l="1"/>
  <c r="D15" i="30"/>
  <c r="E15" i="30"/>
  <c r="H16" i="37"/>
  <c r="H16" i="36"/>
  <c r="AE17" i="37"/>
  <c r="AF17" i="37" s="1"/>
  <c r="O17" i="37"/>
  <c r="B17" i="37"/>
  <c r="M17" i="37"/>
  <c r="N17" i="37" s="1"/>
  <c r="V17" i="37"/>
  <c r="A18" i="37"/>
  <c r="J18" i="37" s="1"/>
  <c r="L17" i="37"/>
  <c r="A19" i="36"/>
  <c r="J19" i="36" s="1"/>
  <c r="M18" i="36"/>
  <c r="N18" i="36" s="1"/>
  <c r="L18" i="36"/>
  <c r="AE18" i="36"/>
  <c r="AF18" i="36" s="1"/>
  <c r="O18" i="36"/>
  <c r="B18" i="36"/>
  <c r="V18" i="36"/>
  <c r="C16" i="25"/>
  <c r="H7" i="33"/>
  <c r="C15" i="31"/>
  <c r="C17" i="28"/>
  <c r="A10" i="11"/>
  <c r="J10" i="11" s="1"/>
  <c r="H9" i="11"/>
  <c r="M9" i="11"/>
  <c r="B9" i="11"/>
  <c r="D16" i="25"/>
  <c r="D15" i="31"/>
  <c r="D17" i="28"/>
  <c r="I7" i="33"/>
  <c r="J7" i="33"/>
  <c r="E17" i="28"/>
  <c r="E15" i="31"/>
  <c r="E16" i="25"/>
  <c r="A10" i="19"/>
  <c r="J10" i="19" s="1"/>
  <c r="M9" i="19"/>
  <c r="B9" i="19"/>
  <c r="F14" i="28"/>
  <c r="K4" i="33"/>
  <c r="AB5" i="11"/>
  <c r="M4" i="33" s="1"/>
  <c r="G14" i="28"/>
  <c r="AD5" i="19"/>
  <c r="L4" i="33" s="1"/>
  <c r="AB5" i="19"/>
  <c r="N4" i="33" s="1"/>
  <c r="W5" i="11"/>
  <c r="R5" i="19"/>
  <c r="R5" i="11"/>
  <c r="W5" i="19"/>
  <c r="B110" i="17"/>
  <c r="B112" i="17" s="1"/>
  <c r="B99" i="17"/>
  <c r="C110" i="17"/>
  <c r="C112" i="17" s="1"/>
  <c r="I6" i="37"/>
  <c r="L6" i="19"/>
  <c r="C17" i="36" l="1"/>
  <c r="C10" i="36"/>
  <c r="C13" i="36"/>
  <c r="C8" i="36"/>
  <c r="C7" i="36"/>
  <c r="C9" i="36"/>
  <c r="B103" i="17"/>
  <c r="B116" i="17" s="1"/>
  <c r="C10" i="11"/>
  <c r="C19" i="36"/>
  <c r="B139" i="17"/>
  <c r="C18" i="36"/>
  <c r="C16" i="36"/>
  <c r="C15" i="36"/>
  <c r="C6" i="11"/>
  <c r="D6" i="11" s="1"/>
  <c r="C14" i="36"/>
  <c r="C7" i="11"/>
  <c r="C6" i="36"/>
  <c r="C12" i="36"/>
  <c r="C9" i="11"/>
  <c r="C11" i="36"/>
  <c r="C8" i="11"/>
  <c r="I7" i="37"/>
  <c r="I8" i="37" s="1"/>
  <c r="I9" i="37" s="1"/>
  <c r="I10" i="37" s="1"/>
  <c r="I11" i="37" s="1"/>
  <c r="I12" i="37" s="1"/>
  <c r="I13" i="37" s="1"/>
  <c r="I14" i="37" s="1"/>
  <c r="I15" i="37" s="1"/>
  <c r="I16" i="37" s="1"/>
  <c r="I17" i="37" s="1"/>
  <c r="I18" i="37" s="1"/>
  <c r="H10" i="19"/>
  <c r="C99" i="17"/>
  <c r="C10" i="19" s="1"/>
  <c r="I6" i="36"/>
  <c r="H17" i="37"/>
  <c r="H17" i="36"/>
  <c r="G6" i="11"/>
  <c r="G6" i="36"/>
  <c r="G6" i="37"/>
  <c r="U6" i="37" s="1"/>
  <c r="L18" i="37"/>
  <c r="AE18" i="37"/>
  <c r="AF18" i="37" s="1"/>
  <c r="O18" i="37"/>
  <c r="A19" i="37"/>
  <c r="J19" i="37" s="1"/>
  <c r="B18" i="37"/>
  <c r="M18" i="37"/>
  <c r="N18" i="37" s="1"/>
  <c r="V18" i="37"/>
  <c r="V19" i="36"/>
  <c r="A20" i="36"/>
  <c r="J20" i="36" s="1"/>
  <c r="M19" i="36"/>
  <c r="N19" i="36" s="1"/>
  <c r="L19" i="36"/>
  <c r="AE19" i="36"/>
  <c r="AF19" i="36" s="1"/>
  <c r="O19" i="36"/>
  <c r="B19" i="36"/>
  <c r="A11" i="11"/>
  <c r="J11" i="11" s="1"/>
  <c r="M10" i="11"/>
  <c r="H10" i="11"/>
  <c r="B10" i="11"/>
  <c r="C16" i="31"/>
  <c r="C18" i="28"/>
  <c r="C16" i="30"/>
  <c r="C17" i="25"/>
  <c r="H8" i="33"/>
  <c r="D18" i="28"/>
  <c r="D17" i="25"/>
  <c r="D16" i="30"/>
  <c r="D16" i="31"/>
  <c r="I8" i="33"/>
  <c r="J8" i="33"/>
  <c r="A11" i="19"/>
  <c r="J11" i="19" s="1"/>
  <c r="B10" i="19"/>
  <c r="M10" i="19"/>
  <c r="E17" i="25"/>
  <c r="E16" i="31"/>
  <c r="E16" i="30"/>
  <c r="E18" i="28"/>
  <c r="AE6" i="11"/>
  <c r="AF6" i="11" s="1"/>
  <c r="F14" i="25" s="1"/>
  <c r="AE10" i="11"/>
  <c r="AF10" i="11" s="1"/>
  <c r="F18" i="25" s="1"/>
  <c r="AE7" i="11"/>
  <c r="AF7" i="11" s="1"/>
  <c r="F15" i="25" s="1"/>
  <c r="AE11" i="11"/>
  <c r="AF11" i="11" s="1"/>
  <c r="F19" i="25" s="1"/>
  <c r="AE8" i="11"/>
  <c r="AF8" i="11" s="1"/>
  <c r="F16" i="25" s="1"/>
  <c r="AE5" i="11"/>
  <c r="AF5" i="11" s="1"/>
  <c r="F13" i="25" s="1"/>
  <c r="AE9" i="11"/>
  <c r="AF9" i="11" s="1"/>
  <c r="F17" i="25" s="1"/>
  <c r="AE6" i="19"/>
  <c r="AF6" i="19" s="1"/>
  <c r="G14" i="25" s="1"/>
  <c r="AE10" i="19"/>
  <c r="AF10" i="19" s="1"/>
  <c r="G18" i="25" s="1"/>
  <c r="AE7" i="19"/>
  <c r="AF7" i="19" s="1"/>
  <c r="G15" i="25" s="1"/>
  <c r="AE8" i="19"/>
  <c r="AF8" i="19" s="1"/>
  <c r="G16" i="25" s="1"/>
  <c r="AE5" i="19"/>
  <c r="AF5" i="19" s="1"/>
  <c r="G13" i="25" s="1"/>
  <c r="AE9" i="19"/>
  <c r="AF9" i="19" s="1"/>
  <c r="G17" i="25" s="1"/>
  <c r="L7" i="19"/>
  <c r="G15" i="28"/>
  <c r="X6" i="19"/>
  <c r="G12" i="31"/>
  <c r="F12" i="31"/>
  <c r="X6" i="11"/>
  <c r="S6" i="11"/>
  <c r="H12" i="31"/>
  <c r="I12" i="31"/>
  <c r="S6" i="19"/>
  <c r="C125" i="17"/>
  <c r="B125" i="17"/>
  <c r="U5" i="19"/>
  <c r="I12" i="30" s="1"/>
  <c r="Z5" i="11"/>
  <c r="U5" i="11"/>
  <c r="Z5" i="19"/>
  <c r="G12" i="30" s="1"/>
  <c r="I19" i="37" l="1"/>
  <c r="AE11" i="19"/>
  <c r="AF11" i="19" s="1"/>
  <c r="G19" i="25" s="1"/>
  <c r="C20" i="36"/>
  <c r="C11" i="11"/>
  <c r="G7" i="11"/>
  <c r="P6" i="37"/>
  <c r="Q6" i="37" s="1"/>
  <c r="K6" i="37"/>
  <c r="M15" i="28" s="1"/>
  <c r="R6" i="37"/>
  <c r="Q13" i="31"/>
  <c r="K6" i="36"/>
  <c r="L15" i="28" s="1"/>
  <c r="P6" i="36"/>
  <c r="Q6" i="36" s="1"/>
  <c r="R6" i="36"/>
  <c r="P13" i="31"/>
  <c r="I7" i="36"/>
  <c r="I8" i="36" s="1"/>
  <c r="I9" i="36" s="1"/>
  <c r="I10" i="36" s="1"/>
  <c r="I11" i="36" s="1"/>
  <c r="I12" i="36" s="1"/>
  <c r="I13" i="36" s="1"/>
  <c r="I14" i="36" s="1"/>
  <c r="I15" i="36" s="1"/>
  <c r="I16" i="36" s="1"/>
  <c r="I17" i="36" s="1"/>
  <c r="I18" i="36" s="1"/>
  <c r="I19" i="36" s="1"/>
  <c r="I20" i="36" s="1"/>
  <c r="U6" i="36"/>
  <c r="J13" i="30" s="1"/>
  <c r="C103" i="17"/>
  <c r="C8" i="37"/>
  <c r="E8" i="37" s="1"/>
  <c r="C139" i="17"/>
  <c r="C16" i="37"/>
  <c r="E16" i="37" s="1"/>
  <c r="C17" i="37"/>
  <c r="E17" i="37" s="1"/>
  <c r="C19" i="37"/>
  <c r="E19" i="37" s="1"/>
  <c r="C10" i="37"/>
  <c r="E10" i="37" s="1"/>
  <c r="C7" i="37"/>
  <c r="E7" i="37" s="1"/>
  <c r="C13" i="37"/>
  <c r="E13" i="37" s="1"/>
  <c r="C9" i="37"/>
  <c r="E9" i="37" s="1"/>
  <c r="C15" i="37"/>
  <c r="C6" i="37"/>
  <c r="C12" i="37"/>
  <c r="C11" i="37"/>
  <c r="C18" i="37"/>
  <c r="E18" i="37" s="1"/>
  <c r="C14" i="37"/>
  <c r="C6" i="19"/>
  <c r="C7" i="19"/>
  <c r="M14" i="31" s="1"/>
  <c r="C8" i="19"/>
  <c r="M15" i="31" s="1"/>
  <c r="C9" i="19"/>
  <c r="M16" i="31" s="1"/>
  <c r="C11" i="19"/>
  <c r="H11" i="19"/>
  <c r="N12" i="31"/>
  <c r="H12" i="30"/>
  <c r="L12" i="31"/>
  <c r="F12" i="30"/>
  <c r="H18" i="37"/>
  <c r="H18" i="36"/>
  <c r="G7" i="36"/>
  <c r="AA6" i="36"/>
  <c r="G7" i="37"/>
  <c r="AA6" i="37"/>
  <c r="AB6" i="37" s="1"/>
  <c r="E7" i="36"/>
  <c r="E8" i="36"/>
  <c r="E9" i="36"/>
  <c r="E19" i="36"/>
  <c r="A20" i="37"/>
  <c r="J20" i="37" s="1"/>
  <c r="M19" i="37"/>
  <c r="N19" i="37" s="1"/>
  <c r="V19" i="37"/>
  <c r="AE19" i="37"/>
  <c r="AF19" i="37" s="1"/>
  <c r="O19" i="37"/>
  <c r="B19" i="37"/>
  <c r="L19" i="37"/>
  <c r="AE20" i="36"/>
  <c r="AF20" i="36" s="1"/>
  <c r="O20" i="36"/>
  <c r="B20" i="36"/>
  <c r="V20" i="36"/>
  <c r="A21" i="36"/>
  <c r="M20" i="36"/>
  <c r="N20" i="36" s="1"/>
  <c r="L20" i="36"/>
  <c r="C17" i="31"/>
  <c r="H9" i="33"/>
  <c r="C19" i="28"/>
  <c r="C17" i="30"/>
  <c r="C18" i="25"/>
  <c r="A12" i="11"/>
  <c r="B11" i="11"/>
  <c r="M11" i="11"/>
  <c r="H11" i="11"/>
  <c r="D17" i="31"/>
  <c r="D19" i="28"/>
  <c r="D17" i="30"/>
  <c r="D18" i="25"/>
  <c r="I9" i="33"/>
  <c r="J9" i="33"/>
  <c r="E18" i="25"/>
  <c r="E17" i="31"/>
  <c r="E19" i="28"/>
  <c r="E17" i="30"/>
  <c r="A12" i="19"/>
  <c r="J12" i="19" s="1"/>
  <c r="M11" i="19"/>
  <c r="B11" i="19"/>
  <c r="M12" i="31"/>
  <c r="O12" i="31"/>
  <c r="L14" i="31"/>
  <c r="L15" i="31"/>
  <c r="L16" i="31"/>
  <c r="L8" i="19"/>
  <c r="G16" i="28"/>
  <c r="J12" i="11" l="1"/>
  <c r="C12" i="11"/>
  <c r="J21" i="36"/>
  <c r="C21" i="36"/>
  <c r="C20" i="37"/>
  <c r="I21" i="36"/>
  <c r="I20" i="37"/>
  <c r="P7" i="37"/>
  <c r="Q7" i="37" s="1"/>
  <c r="Q14" i="31"/>
  <c r="K7" i="37"/>
  <c r="M16" i="28" s="1"/>
  <c r="K7" i="36"/>
  <c r="P7" i="36"/>
  <c r="Q7" i="36" s="1"/>
  <c r="P14" i="31"/>
  <c r="G8" i="11"/>
  <c r="C12" i="19"/>
  <c r="H12" i="19"/>
  <c r="H19" i="37"/>
  <c r="H19" i="36"/>
  <c r="AB6" i="36"/>
  <c r="E16" i="36"/>
  <c r="E12" i="36"/>
  <c r="E15" i="37"/>
  <c r="E11" i="37"/>
  <c r="E17" i="36"/>
  <c r="E15" i="36"/>
  <c r="E11" i="36"/>
  <c r="K13" i="31"/>
  <c r="K13" i="30"/>
  <c r="S7" i="37"/>
  <c r="T7" i="37" s="1"/>
  <c r="U7" i="37" s="1"/>
  <c r="G8" i="37"/>
  <c r="E14" i="37"/>
  <c r="E6" i="37"/>
  <c r="F6" i="37" s="1"/>
  <c r="F7" i="37" s="1"/>
  <c r="F8" i="37" s="1"/>
  <c r="F9" i="37" s="1"/>
  <c r="F10" i="37" s="1"/>
  <c r="D6" i="37"/>
  <c r="D7" i="37" s="1"/>
  <c r="D8" i="37" s="1"/>
  <c r="D9" i="37" s="1"/>
  <c r="D10" i="37" s="1"/>
  <c r="D11" i="37" s="1"/>
  <c r="D12" i="37" s="1"/>
  <c r="D13" i="37" s="1"/>
  <c r="D14" i="37" s="1"/>
  <c r="D15" i="37" s="1"/>
  <c r="D16" i="37" s="1"/>
  <c r="D17" i="37" s="1"/>
  <c r="D18" i="37" s="1"/>
  <c r="D19" i="37" s="1"/>
  <c r="AC6" i="37"/>
  <c r="AD6" i="37" s="1"/>
  <c r="Z6" i="37"/>
  <c r="W6" i="37"/>
  <c r="E13" i="36"/>
  <c r="E12" i="37"/>
  <c r="E18" i="36"/>
  <c r="E14" i="36"/>
  <c r="E10" i="36"/>
  <c r="D6" i="36"/>
  <c r="D7" i="36" s="1"/>
  <c r="D8" i="36" s="1"/>
  <c r="D9" i="36" s="1"/>
  <c r="D10" i="36" s="1"/>
  <c r="D11" i="36" s="1"/>
  <c r="D12" i="36" s="1"/>
  <c r="D13" i="36" s="1"/>
  <c r="D14" i="36" s="1"/>
  <c r="D15" i="36" s="1"/>
  <c r="D16" i="36" s="1"/>
  <c r="D17" i="36" s="1"/>
  <c r="D18" i="36" s="1"/>
  <c r="D19" i="36" s="1"/>
  <c r="D20" i="36" s="1"/>
  <c r="AC6" i="36"/>
  <c r="E6" i="36"/>
  <c r="F6" i="36" s="1"/>
  <c r="F7" i="36" s="1"/>
  <c r="F8" i="36" s="1"/>
  <c r="F9" i="36" s="1"/>
  <c r="W6" i="36"/>
  <c r="Z6" i="36"/>
  <c r="J13" i="31"/>
  <c r="S7" i="36"/>
  <c r="T7" i="36" s="1"/>
  <c r="G8" i="36"/>
  <c r="V20" i="37"/>
  <c r="A21" i="37"/>
  <c r="L20" i="37"/>
  <c r="O20" i="37"/>
  <c r="M20" i="37"/>
  <c r="N20" i="37" s="1"/>
  <c r="E20" i="37"/>
  <c r="AE20" i="37"/>
  <c r="AF20" i="37" s="1"/>
  <c r="B20" i="37"/>
  <c r="E20" i="36"/>
  <c r="L21" i="36"/>
  <c r="AE21" i="36"/>
  <c r="AF21" i="36" s="1"/>
  <c r="O21" i="36"/>
  <c r="B21" i="36"/>
  <c r="V21" i="36"/>
  <c r="A22" i="36"/>
  <c r="M21" i="36"/>
  <c r="N21" i="36" s="1"/>
  <c r="C20" i="28"/>
  <c r="C18" i="30"/>
  <c r="C19" i="25"/>
  <c r="H10" i="33"/>
  <c r="C18" i="31"/>
  <c r="A13" i="11"/>
  <c r="B12" i="11"/>
  <c r="M12" i="11"/>
  <c r="H12" i="11"/>
  <c r="AE12" i="11"/>
  <c r="AF12" i="11" s="1"/>
  <c r="F20" i="25" s="1"/>
  <c r="D18" i="30"/>
  <c r="D18" i="31"/>
  <c r="D20" i="28"/>
  <c r="D19" i="25"/>
  <c r="I10" i="33"/>
  <c r="J10" i="33"/>
  <c r="L17" i="31"/>
  <c r="M17" i="31"/>
  <c r="L13" i="31"/>
  <c r="E18" i="30"/>
  <c r="E19" i="25"/>
  <c r="E20" i="28"/>
  <c r="E18" i="31"/>
  <c r="A13" i="19"/>
  <c r="J13" i="19" s="1"/>
  <c r="M12" i="19"/>
  <c r="B12" i="19"/>
  <c r="AE12" i="19"/>
  <c r="AF12" i="19" s="1"/>
  <c r="G20" i="25" s="1"/>
  <c r="M13" i="31"/>
  <c r="D6" i="19"/>
  <c r="L9" i="19"/>
  <c r="G17" i="28"/>
  <c r="E12" i="25"/>
  <c r="E10" i="31" s="1"/>
  <c r="B133" i="17"/>
  <c r="J22" i="36" l="1"/>
  <c r="C22" i="36"/>
  <c r="J13" i="11"/>
  <c r="C13" i="11"/>
  <c r="J21" i="37"/>
  <c r="C21" i="37"/>
  <c r="I21" i="37"/>
  <c r="I22" i="36"/>
  <c r="K8" i="36"/>
  <c r="L17" i="28" s="1"/>
  <c r="P8" i="36"/>
  <c r="Q8" i="36" s="1"/>
  <c r="P15" i="31"/>
  <c r="G9" i="11"/>
  <c r="K8" i="37"/>
  <c r="M17" i="28" s="1"/>
  <c r="L16" i="28"/>
  <c r="P8" i="37"/>
  <c r="Q8" i="37" s="1"/>
  <c r="Q15" i="31"/>
  <c r="AA7" i="37"/>
  <c r="R7" i="37"/>
  <c r="U7" i="36"/>
  <c r="R7" i="36"/>
  <c r="C13" i="19"/>
  <c r="H13" i="19"/>
  <c r="H20" i="37"/>
  <c r="H20" i="36"/>
  <c r="D20" i="37"/>
  <c r="D21" i="36"/>
  <c r="X7" i="37"/>
  <c r="Y7" i="37" s="1"/>
  <c r="AC7" i="37" s="1"/>
  <c r="G9" i="37"/>
  <c r="AD6" i="36"/>
  <c r="F11" i="37"/>
  <c r="F12" i="37" s="1"/>
  <c r="F13" i="37" s="1"/>
  <c r="F14" i="37" s="1"/>
  <c r="F15" i="37" s="1"/>
  <c r="F16" i="37" s="1"/>
  <c r="F17" i="37" s="1"/>
  <c r="F18" i="37" s="1"/>
  <c r="F19" i="37" s="1"/>
  <c r="F20" i="37" s="1"/>
  <c r="AA7" i="36"/>
  <c r="AB7" i="36" s="1"/>
  <c r="G9" i="36"/>
  <c r="AB7" i="37"/>
  <c r="X7" i="36"/>
  <c r="Y7" i="36" s="1"/>
  <c r="Z7" i="36" s="1"/>
  <c r="F10" i="36"/>
  <c r="F11" i="36" s="1"/>
  <c r="F12" i="36" s="1"/>
  <c r="F13" i="36" s="1"/>
  <c r="F14" i="36" s="1"/>
  <c r="F15" i="36" s="1"/>
  <c r="F16" i="36" s="1"/>
  <c r="F17" i="36" s="1"/>
  <c r="F18" i="36" s="1"/>
  <c r="F19" i="36" s="1"/>
  <c r="F20" i="36" s="1"/>
  <c r="E21" i="36"/>
  <c r="AE21" i="37"/>
  <c r="AF21" i="37" s="1"/>
  <c r="O21" i="37"/>
  <c r="B21" i="37"/>
  <c r="M21" i="37"/>
  <c r="N21" i="37" s="1"/>
  <c r="A22" i="37"/>
  <c r="L21" i="37"/>
  <c r="V21" i="37"/>
  <c r="E21" i="37"/>
  <c r="A23" i="36"/>
  <c r="M22" i="36"/>
  <c r="N22" i="36" s="1"/>
  <c r="L22" i="36"/>
  <c r="AE22" i="36"/>
  <c r="AF22" i="36" s="1"/>
  <c r="O22" i="36"/>
  <c r="B22" i="36"/>
  <c r="V22" i="36"/>
  <c r="C19" i="31"/>
  <c r="H11" i="33"/>
  <c r="C19" i="30"/>
  <c r="C20" i="25"/>
  <c r="C21" i="28"/>
  <c r="A14" i="11"/>
  <c r="B13" i="11"/>
  <c r="M13" i="11"/>
  <c r="H13" i="11"/>
  <c r="AE13" i="11"/>
  <c r="AF13" i="11" s="1"/>
  <c r="F21" i="25" s="1"/>
  <c r="D20" i="25"/>
  <c r="D19" i="30"/>
  <c r="D21" i="28"/>
  <c r="D19" i="31"/>
  <c r="I11" i="33"/>
  <c r="J11" i="33"/>
  <c r="M18" i="31"/>
  <c r="L18" i="31"/>
  <c r="E20" i="25"/>
  <c r="E19" i="31"/>
  <c r="E21" i="28"/>
  <c r="E19" i="30"/>
  <c r="A14" i="19"/>
  <c r="J14" i="19" s="1"/>
  <c r="B13" i="19"/>
  <c r="M13" i="19"/>
  <c r="AE13" i="19"/>
  <c r="AF13" i="19" s="1"/>
  <c r="G21" i="25" s="1"/>
  <c r="L10" i="19"/>
  <c r="G18" i="28"/>
  <c r="I23" i="36" l="1"/>
  <c r="I22" i="37"/>
  <c r="J14" i="11"/>
  <c r="C14" i="11"/>
  <c r="J23" i="36"/>
  <c r="C23" i="36"/>
  <c r="J22" i="37"/>
  <c r="C22" i="37"/>
  <c r="E22" i="37" s="1"/>
  <c r="P9" i="37"/>
  <c r="Q9" i="37" s="1"/>
  <c r="Q16" i="31"/>
  <c r="K9" i="37"/>
  <c r="M18" i="28" s="1"/>
  <c r="G10" i="11"/>
  <c r="P9" i="36"/>
  <c r="Q9" i="36" s="1"/>
  <c r="P16" i="31"/>
  <c r="K9" i="36"/>
  <c r="L18" i="28" s="1"/>
  <c r="K14" i="30"/>
  <c r="J14" i="30"/>
  <c r="C14" i="19"/>
  <c r="H14" i="19"/>
  <c r="D22" i="36"/>
  <c r="H21" i="37"/>
  <c r="H21" i="36"/>
  <c r="F21" i="36"/>
  <c r="Z7" i="37"/>
  <c r="W7" i="36"/>
  <c r="X8" i="36" s="1"/>
  <c r="Y8" i="36" s="1"/>
  <c r="W8" i="36" s="1"/>
  <c r="X9" i="36" s="1"/>
  <c r="Y9" i="36" s="1"/>
  <c r="W9" i="36" s="1"/>
  <c r="X10" i="36" s="1"/>
  <c r="Y10" i="36" s="1"/>
  <c r="W10" i="36" s="1"/>
  <c r="G10" i="36"/>
  <c r="S8" i="37"/>
  <c r="T8" i="37" s="1"/>
  <c r="U8" i="37" s="1"/>
  <c r="K14" i="31"/>
  <c r="G10" i="37"/>
  <c r="AD7" i="37"/>
  <c r="J14" i="31"/>
  <c r="S8" i="36"/>
  <c r="T8" i="36" s="1"/>
  <c r="U8" i="36" s="1"/>
  <c r="AC7" i="36"/>
  <c r="W7" i="37"/>
  <c r="E22" i="36"/>
  <c r="A23" i="37"/>
  <c r="V22" i="37"/>
  <c r="L22" i="37"/>
  <c r="B22" i="37"/>
  <c r="AE22" i="37"/>
  <c r="AF22" i="37" s="1"/>
  <c r="O22" i="37"/>
  <c r="M22" i="37"/>
  <c r="N22" i="37" s="1"/>
  <c r="D21" i="37"/>
  <c r="F21" i="37"/>
  <c r="V23" i="36"/>
  <c r="A24" i="36"/>
  <c r="M23" i="36"/>
  <c r="N23" i="36" s="1"/>
  <c r="L23" i="36"/>
  <c r="B23" i="36"/>
  <c r="AE23" i="36"/>
  <c r="AF23" i="36" s="1"/>
  <c r="O23" i="36"/>
  <c r="C20" i="31"/>
  <c r="H12" i="33"/>
  <c r="C22" i="28"/>
  <c r="C20" i="30"/>
  <c r="C21" i="25"/>
  <c r="A15" i="11"/>
  <c r="M14" i="11"/>
  <c r="B14" i="11"/>
  <c r="H14" i="11"/>
  <c r="AE14" i="11"/>
  <c r="AF14" i="11" s="1"/>
  <c r="F22" i="25" s="1"/>
  <c r="D22" i="28"/>
  <c r="D20" i="30"/>
  <c r="D21" i="25"/>
  <c r="D20" i="31"/>
  <c r="I12" i="33"/>
  <c r="J12" i="33"/>
  <c r="A15" i="19"/>
  <c r="J15" i="19" s="1"/>
  <c r="B14" i="19"/>
  <c r="M14" i="19"/>
  <c r="AE14" i="19"/>
  <c r="AF14" i="19" s="1"/>
  <c r="G22" i="25" s="1"/>
  <c r="M19" i="31"/>
  <c r="L19" i="31"/>
  <c r="E20" i="31"/>
  <c r="E22" i="28"/>
  <c r="E20" i="30"/>
  <c r="E21" i="25"/>
  <c r="L11" i="19"/>
  <c r="G19" i="28"/>
  <c r="V6" i="19"/>
  <c r="V7" i="19" s="1"/>
  <c r="V8" i="19" s="1"/>
  <c r="V9" i="19" s="1"/>
  <c r="V10" i="19" s="1"/>
  <c r="V11" i="19" s="1"/>
  <c r="V12" i="19" s="1"/>
  <c r="V13" i="19" s="1"/>
  <c r="V14" i="19" s="1"/>
  <c r="V15" i="19" s="1"/>
  <c r="V6" i="11"/>
  <c r="V7" i="11" s="1"/>
  <c r="V8" i="11" s="1"/>
  <c r="V9" i="11" s="1"/>
  <c r="V10" i="11" s="1"/>
  <c r="V11" i="11" s="1"/>
  <c r="V12" i="11" s="1"/>
  <c r="V13" i="11" s="1"/>
  <c r="V14" i="11" s="1"/>
  <c r="V15" i="11" s="1"/>
  <c r="L6" i="11"/>
  <c r="J23" i="37" l="1"/>
  <c r="C23" i="37"/>
  <c r="J24" i="36"/>
  <c r="C24" i="36"/>
  <c r="J15" i="11"/>
  <c r="C15" i="11"/>
  <c r="I23" i="37"/>
  <c r="I24" i="36"/>
  <c r="P10" i="36"/>
  <c r="Q10" i="36" s="1"/>
  <c r="P17" i="31"/>
  <c r="K10" i="37"/>
  <c r="M19" i="28" s="1"/>
  <c r="G11" i="11"/>
  <c r="P10" i="37"/>
  <c r="Q10" i="37" s="1"/>
  <c r="Q17" i="31"/>
  <c r="K10" i="36"/>
  <c r="L19" i="28" s="1"/>
  <c r="R8" i="36"/>
  <c r="J15" i="31" s="1"/>
  <c r="K15" i="30"/>
  <c r="R8" i="37"/>
  <c r="D23" i="36"/>
  <c r="C15" i="19"/>
  <c r="H15" i="19"/>
  <c r="F22" i="36"/>
  <c r="H22" i="37"/>
  <c r="H22" i="36"/>
  <c r="Z8" i="36"/>
  <c r="Z9" i="36" s="1"/>
  <c r="Z10" i="36" s="1"/>
  <c r="X8" i="37"/>
  <c r="Y8" i="37" s="1"/>
  <c r="AC8" i="37" s="1"/>
  <c r="AD8" i="37" s="1"/>
  <c r="G11" i="37"/>
  <c r="X11" i="36"/>
  <c r="Y11" i="36" s="1"/>
  <c r="W11" i="36" s="1"/>
  <c r="AD7" i="36"/>
  <c r="AC8" i="36"/>
  <c r="AA8" i="36"/>
  <c r="AB8" i="36" s="1"/>
  <c r="J15" i="30"/>
  <c r="D22" i="37"/>
  <c r="AA8" i="37"/>
  <c r="G11" i="36"/>
  <c r="E23" i="36"/>
  <c r="A24" i="37"/>
  <c r="M23" i="37"/>
  <c r="N23" i="37" s="1"/>
  <c r="L23" i="37"/>
  <c r="O23" i="37"/>
  <c r="V23" i="37"/>
  <c r="AE23" i="37"/>
  <c r="AF23" i="37" s="1"/>
  <c r="B23" i="37"/>
  <c r="F22" i="37"/>
  <c r="AE24" i="36"/>
  <c r="AF24" i="36" s="1"/>
  <c r="O24" i="36"/>
  <c r="B24" i="36"/>
  <c r="V24" i="36"/>
  <c r="A25" i="36"/>
  <c r="M24" i="36"/>
  <c r="N24" i="36" s="1"/>
  <c r="L24" i="36"/>
  <c r="A16" i="11"/>
  <c r="B15" i="11"/>
  <c r="M15" i="11"/>
  <c r="H15" i="11"/>
  <c r="AE15" i="11"/>
  <c r="AF15" i="11" s="1"/>
  <c r="F23" i="25" s="1"/>
  <c r="C21" i="31"/>
  <c r="C23" i="28"/>
  <c r="C21" i="30"/>
  <c r="C22" i="25"/>
  <c r="H13" i="33"/>
  <c r="D21" i="31"/>
  <c r="D23" i="28"/>
  <c r="D22" i="25"/>
  <c r="D21" i="30"/>
  <c r="I13" i="33"/>
  <c r="J13" i="33"/>
  <c r="L20" i="31"/>
  <c r="E23" i="28"/>
  <c r="E22" i="25"/>
  <c r="E21" i="30"/>
  <c r="E21" i="31"/>
  <c r="A16" i="19"/>
  <c r="J16" i="19" s="1"/>
  <c r="M15" i="19"/>
  <c r="B15" i="19"/>
  <c r="AE15" i="19"/>
  <c r="AF15" i="19" s="1"/>
  <c r="G23" i="25" s="1"/>
  <c r="V16" i="19"/>
  <c r="M20" i="31"/>
  <c r="L12" i="19"/>
  <c r="G20" i="28"/>
  <c r="L7" i="11"/>
  <c r="F15" i="28"/>
  <c r="T6" i="11"/>
  <c r="D24" i="36" l="1"/>
  <c r="J16" i="11"/>
  <c r="C16" i="11"/>
  <c r="I25" i="36"/>
  <c r="I24" i="37"/>
  <c r="C25" i="36"/>
  <c r="J25" i="36"/>
  <c r="J24" i="37"/>
  <c r="C24" i="37"/>
  <c r="S9" i="36"/>
  <c r="T9" i="36" s="1"/>
  <c r="R9" i="36" s="1"/>
  <c r="J16" i="31" s="1"/>
  <c r="K11" i="37"/>
  <c r="M20" i="28" s="1"/>
  <c r="P11" i="37"/>
  <c r="Q11" i="37" s="1"/>
  <c r="Q18" i="31"/>
  <c r="G12" i="11"/>
  <c r="P11" i="36"/>
  <c r="Q11" i="36" s="1"/>
  <c r="P18" i="31"/>
  <c r="K11" i="36"/>
  <c r="L20" i="28" s="1"/>
  <c r="C16" i="19"/>
  <c r="H16" i="19"/>
  <c r="F23" i="36"/>
  <c r="H23" i="37"/>
  <c r="H23" i="36"/>
  <c r="D23" i="37"/>
  <c r="Z8" i="37"/>
  <c r="Z11" i="36"/>
  <c r="AC9" i="36"/>
  <c r="AD8" i="36"/>
  <c r="K15" i="31"/>
  <c r="S9" i="37"/>
  <c r="T9" i="37" s="1"/>
  <c r="U9" i="37" s="1"/>
  <c r="G12" i="37"/>
  <c r="W8" i="37"/>
  <c r="AB8" i="37"/>
  <c r="X12" i="36"/>
  <c r="Y12" i="36" s="1"/>
  <c r="G12" i="36"/>
  <c r="E23" i="37"/>
  <c r="F23" i="37" s="1"/>
  <c r="V24" i="37"/>
  <c r="M24" i="37"/>
  <c r="N24" i="37" s="1"/>
  <c r="B24" i="37"/>
  <c r="AE24" i="37"/>
  <c r="AF24" i="37" s="1"/>
  <c r="L24" i="37"/>
  <c r="E24" i="37"/>
  <c r="A25" i="37"/>
  <c r="O24" i="37"/>
  <c r="E24" i="36"/>
  <c r="L25" i="36"/>
  <c r="D25" i="36"/>
  <c r="AE25" i="36"/>
  <c r="AF25" i="36" s="1"/>
  <c r="O25" i="36"/>
  <c r="B25" i="36"/>
  <c r="V25" i="36"/>
  <c r="A26" i="36"/>
  <c r="C26" i="36" s="1"/>
  <c r="M25" i="36"/>
  <c r="N25" i="36" s="1"/>
  <c r="C24" i="28"/>
  <c r="C23" i="25"/>
  <c r="C22" i="30"/>
  <c r="C22" i="31"/>
  <c r="H14" i="33"/>
  <c r="A17" i="11"/>
  <c r="B16" i="11"/>
  <c r="M16" i="11"/>
  <c r="H16" i="11"/>
  <c r="AE16" i="11"/>
  <c r="AF16" i="11" s="1"/>
  <c r="F24" i="25" s="1"/>
  <c r="V16" i="11"/>
  <c r="V17" i="11" s="1"/>
  <c r="D22" i="30"/>
  <c r="D24" i="28"/>
  <c r="D22" i="31"/>
  <c r="D23" i="25"/>
  <c r="I14" i="33"/>
  <c r="J14" i="33"/>
  <c r="L21" i="31"/>
  <c r="A17" i="19"/>
  <c r="J17" i="19" s="1"/>
  <c r="M16" i="19"/>
  <c r="B16" i="19"/>
  <c r="AE16" i="19"/>
  <c r="AF16" i="19" s="1"/>
  <c r="G24" i="25" s="1"/>
  <c r="M21" i="31"/>
  <c r="E22" i="31"/>
  <c r="E23" i="25"/>
  <c r="E24" i="28"/>
  <c r="E22" i="30"/>
  <c r="L8" i="11"/>
  <c r="F16" i="28"/>
  <c r="L13" i="19"/>
  <c r="G21" i="28"/>
  <c r="Y6" i="19"/>
  <c r="P2" i="19"/>
  <c r="I6" i="19"/>
  <c r="I7" i="19" s="1"/>
  <c r="I8" i="19" s="1"/>
  <c r="I9" i="19" s="1"/>
  <c r="I10" i="19" s="1"/>
  <c r="I11" i="19" s="1"/>
  <c r="I12" i="19" s="1"/>
  <c r="I13" i="19" s="1"/>
  <c r="I14" i="19" s="1"/>
  <c r="I15" i="19" s="1"/>
  <c r="I16" i="19" s="1"/>
  <c r="C131" i="17"/>
  <c r="C133" i="17" s="1"/>
  <c r="I17" i="19" l="1"/>
  <c r="I25" i="37"/>
  <c r="I26" i="36"/>
  <c r="J26" i="36"/>
  <c r="J17" i="11"/>
  <c r="C17" i="11"/>
  <c r="J25" i="37"/>
  <c r="C25" i="37"/>
  <c r="U9" i="36"/>
  <c r="J16" i="30" s="1"/>
  <c r="AA9" i="36"/>
  <c r="AB9" i="36" s="1"/>
  <c r="S10" i="36"/>
  <c r="T10" i="36" s="1"/>
  <c r="R10" i="36" s="1"/>
  <c r="F24" i="36"/>
  <c r="P12" i="37"/>
  <c r="Q12" i="37" s="1"/>
  <c r="Q19" i="31"/>
  <c r="K12" i="37"/>
  <c r="M21" i="28" s="1"/>
  <c r="P12" i="36"/>
  <c r="Q12" i="36" s="1"/>
  <c r="P19" i="31"/>
  <c r="K12" i="36"/>
  <c r="L21" i="28" s="1"/>
  <c r="G13" i="11"/>
  <c r="AA9" i="37"/>
  <c r="AB9" i="37" s="1"/>
  <c r="R9" i="37"/>
  <c r="C17" i="19"/>
  <c r="H17" i="19"/>
  <c r="V17" i="19"/>
  <c r="H24" i="37"/>
  <c r="H24" i="36"/>
  <c r="Z12" i="36"/>
  <c r="W12" i="36"/>
  <c r="X13" i="36" s="1"/>
  <c r="Y13" i="36" s="1"/>
  <c r="G13" i="36"/>
  <c r="X9" i="37"/>
  <c r="Y9" i="37" s="1"/>
  <c r="AD9" i="36"/>
  <c r="AC10" i="36"/>
  <c r="G13" i="37"/>
  <c r="E25" i="36"/>
  <c r="D24" i="37"/>
  <c r="Z6" i="19"/>
  <c r="G13" i="30" s="1"/>
  <c r="F24" i="37"/>
  <c r="AE25" i="37"/>
  <c r="AF25" i="37" s="1"/>
  <c r="O25" i="37"/>
  <c r="B25" i="37"/>
  <c r="M25" i="37"/>
  <c r="N25" i="37" s="1"/>
  <c r="L25" i="37"/>
  <c r="A26" i="37"/>
  <c r="C26" i="37" s="1"/>
  <c r="V25" i="37"/>
  <c r="A27" i="36"/>
  <c r="C27" i="36" s="1"/>
  <c r="M26" i="36"/>
  <c r="N26" i="36" s="1"/>
  <c r="L26" i="36"/>
  <c r="D26" i="36"/>
  <c r="AE26" i="36"/>
  <c r="AF26" i="36" s="1"/>
  <c r="O26" i="36"/>
  <c r="B26" i="36"/>
  <c r="V26" i="36"/>
  <c r="C23" i="30"/>
  <c r="C24" i="25"/>
  <c r="H15" i="33"/>
  <c r="C23" i="31"/>
  <c r="C25" i="28"/>
  <c r="A18" i="11"/>
  <c r="M17" i="11"/>
  <c r="B17" i="11"/>
  <c r="H17" i="11"/>
  <c r="AE17" i="11"/>
  <c r="AF17" i="11" s="1"/>
  <c r="F25" i="25" s="1"/>
  <c r="V18" i="11"/>
  <c r="D24" i="25"/>
  <c r="D23" i="30"/>
  <c r="D23" i="31"/>
  <c r="D25" i="28"/>
  <c r="I15" i="33"/>
  <c r="J15" i="33"/>
  <c r="L22" i="31"/>
  <c r="E24" i="25"/>
  <c r="E25" i="28"/>
  <c r="E23" i="31"/>
  <c r="E23" i="30"/>
  <c r="A18" i="19"/>
  <c r="J18" i="19" s="1"/>
  <c r="B17" i="19"/>
  <c r="M17" i="19"/>
  <c r="N17" i="19" s="1"/>
  <c r="AE17" i="19"/>
  <c r="AF17" i="19" s="1"/>
  <c r="G25" i="25" s="1"/>
  <c r="M22" i="31"/>
  <c r="L14" i="19"/>
  <c r="G22" i="28"/>
  <c r="E12" i="19"/>
  <c r="E15" i="19"/>
  <c r="N8" i="19"/>
  <c r="E8" i="19"/>
  <c r="E13" i="19"/>
  <c r="N6" i="19"/>
  <c r="N7" i="19"/>
  <c r="E11" i="19"/>
  <c r="E16" i="19"/>
  <c r="E14" i="19"/>
  <c r="E9" i="19"/>
  <c r="N15" i="19"/>
  <c r="E6" i="19"/>
  <c r="E7" i="19"/>
  <c r="N13" i="19"/>
  <c r="N14" i="19"/>
  <c r="E10" i="19"/>
  <c r="N16" i="19"/>
  <c r="N10" i="19"/>
  <c r="N11" i="19"/>
  <c r="N9" i="19"/>
  <c r="N12" i="19"/>
  <c r="L9" i="11"/>
  <c r="F17" i="28"/>
  <c r="AC6" i="19"/>
  <c r="G6" i="19"/>
  <c r="C116" i="17"/>
  <c r="W6" i="19"/>
  <c r="J27" i="36" l="1"/>
  <c r="J26" i="37"/>
  <c r="I27" i="36"/>
  <c r="J18" i="11"/>
  <c r="C18" i="11"/>
  <c r="I26" i="37"/>
  <c r="F25" i="36"/>
  <c r="AA10" i="36"/>
  <c r="AB10" i="36" s="1"/>
  <c r="U10" i="36"/>
  <c r="J17" i="30" s="1"/>
  <c r="P13" i="37"/>
  <c r="Q13" i="37" s="1"/>
  <c r="Q20" i="31"/>
  <c r="K13" i="37"/>
  <c r="M22" i="28" s="1"/>
  <c r="K13" i="36"/>
  <c r="L22" i="28" s="1"/>
  <c r="K6" i="19"/>
  <c r="P6" i="19"/>
  <c r="Q6" i="19" s="1"/>
  <c r="O13" i="31"/>
  <c r="P13" i="36"/>
  <c r="Q13" i="36" s="1"/>
  <c r="P20" i="31"/>
  <c r="G14" i="11"/>
  <c r="V18" i="19"/>
  <c r="C18" i="19"/>
  <c r="E18" i="19" s="1"/>
  <c r="H18" i="19"/>
  <c r="D25" i="37"/>
  <c r="D26" i="37" s="1"/>
  <c r="H25" i="37"/>
  <c r="H26" i="37" s="1"/>
  <c r="H25" i="36"/>
  <c r="Z13" i="36"/>
  <c r="S11" i="36"/>
  <c r="T11" i="36" s="1"/>
  <c r="R11" i="36" s="1"/>
  <c r="J17" i="31"/>
  <c r="AC9" i="37"/>
  <c r="Z9" i="37"/>
  <c r="AD10" i="36"/>
  <c r="AC11" i="36"/>
  <c r="K16" i="30"/>
  <c r="G14" i="36"/>
  <c r="G14" i="37"/>
  <c r="K16" i="31"/>
  <c r="S10" i="37"/>
  <c r="T10" i="37" s="1"/>
  <c r="U10" i="37" s="1"/>
  <c r="W9" i="37"/>
  <c r="W13" i="36"/>
  <c r="E26" i="36"/>
  <c r="F26" i="36" s="1"/>
  <c r="E25" i="37"/>
  <c r="F25" i="37" s="1"/>
  <c r="K15" i="28"/>
  <c r="L26" i="37"/>
  <c r="AE26" i="37"/>
  <c r="AF26" i="37" s="1"/>
  <c r="O26" i="37"/>
  <c r="A27" i="37"/>
  <c r="C27" i="37" s="1"/>
  <c r="B26" i="37"/>
  <c r="V26" i="37"/>
  <c r="E26" i="37"/>
  <c r="M26" i="37"/>
  <c r="N26" i="37" s="1"/>
  <c r="V27" i="36"/>
  <c r="A28" i="36"/>
  <c r="C28" i="36" s="1"/>
  <c r="M27" i="36"/>
  <c r="N27" i="36" s="1"/>
  <c r="L27" i="36"/>
  <c r="D27" i="36"/>
  <c r="B27" i="36"/>
  <c r="AE27" i="36"/>
  <c r="AF27" i="36" s="1"/>
  <c r="O27" i="36"/>
  <c r="A19" i="11"/>
  <c r="M18" i="11"/>
  <c r="B18" i="11"/>
  <c r="AE18" i="11"/>
  <c r="AF18" i="11" s="1"/>
  <c r="F26" i="25" s="1"/>
  <c r="H18" i="11"/>
  <c r="C24" i="31"/>
  <c r="C25" i="25"/>
  <c r="C26" i="28"/>
  <c r="C24" i="30"/>
  <c r="H16" i="33"/>
  <c r="D26" i="28"/>
  <c r="D25" i="25"/>
  <c r="D24" i="31"/>
  <c r="D24" i="30"/>
  <c r="I16" i="33"/>
  <c r="J16" i="33"/>
  <c r="L23" i="31"/>
  <c r="M23" i="31"/>
  <c r="A19" i="19"/>
  <c r="J19" i="19" s="1"/>
  <c r="B18" i="19"/>
  <c r="M18" i="19"/>
  <c r="N18" i="19" s="1"/>
  <c r="AE18" i="19"/>
  <c r="AF18" i="19" s="1"/>
  <c r="G26" i="25" s="1"/>
  <c r="E17" i="19"/>
  <c r="I18" i="19"/>
  <c r="E24" i="30"/>
  <c r="E25" i="25"/>
  <c r="E24" i="31"/>
  <c r="E26" i="28"/>
  <c r="L15" i="19"/>
  <c r="G23" i="28"/>
  <c r="G7" i="19"/>
  <c r="L10" i="11"/>
  <c r="F18" i="28"/>
  <c r="G13" i="31"/>
  <c r="X7" i="19"/>
  <c r="Y7" i="19" s="1"/>
  <c r="Z7" i="19" s="1"/>
  <c r="G14" i="30" s="1"/>
  <c r="AD6" i="19"/>
  <c r="L5" i="33" s="1"/>
  <c r="O6" i="19"/>
  <c r="O7" i="19" s="1"/>
  <c r="O8" i="19" s="1"/>
  <c r="O9" i="19" s="1"/>
  <c r="O10" i="19" s="1"/>
  <c r="O11" i="19" s="1"/>
  <c r="O12" i="19" s="1"/>
  <c r="O13" i="19" s="1"/>
  <c r="O14" i="19" s="1"/>
  <c r="O15" i="19" s="1"/>
  <c r="O16" i="19" s="1"/>
  <c r="O17" i="19" s="1"/>
  <c r="O18" i="19" s="1"/>
  <c r="O19" i="19" s="1"/>
  <c r="H27" i="37" l="1"/>
  <c r="J19" i="11"/>
  <c r="C19" i="11"/>
  <c r="I28" i="36"/>
  <c r="I19" i="19"/>
  <c r="I27" i="37"/>
  <c r="J27" i="37"/>
  <c r="J28" i="36"/>
  <c r="K14" i="37"/>
  <c r="M23" i="28" s="1"/>
  <c r="K14" i="36"/>
  <c r="L23" i="28" s="1"/>
  <c r="P7" i="19"/>
  <c r="O14" i="31"/>
  <c r="P14" i="36"/>
  <c r="Q14" i="36" s="1"/>
  <c r="P21" i="31"/>
  <c r="P14" i="37"/>
  <c r="Q14" i="37" s="1"/>
  <c r="Q21" i="31"/>
  <c r="G15" i="11"/>
  <c r="K7" i="19"/>
  <c r="K16" i="28" s="1"/>
  <c r="R10" i="37"/>
  <c r="U11" i="36"/>
  <c r="J18" i="30" s="1"/>
  <c r="C19" i="19"/>
  <c r="E19" i="19" s="1"/>
  <c r="H19" i="19"/>
  <c r="F26" i="37"/>
  <c r="H26" i="36"/>
  <c r="AA11" i="36"/>
  <c r="AB11" i="36" s="1"/>
  <c r="AA10" i="37"/>
  <c r="AC12" i="36"/>
  <c r="AD11" i="36"/>
  <c r="G15" i="36"/>
  <c r="AD9" i="37"/>
  <c r="X14" i="36"/>
  <c r="Y14" i="36" s="1"/>
  <c r="Z14" i="36" s="1"/>
  <c r="X10" i="37"/>
  <c r="Y10" i="37" s="1"/>
  <c r="Z10" i="37" s="1"/>
  <c r="G15" i="37"/>
  <c r="J18" i="31"/>
  <c r="S12" i="36"/>
  <c r="T12" i="36" s="1"/>
  <c r="R12" i="36" s="1"/>
  <c r="E27" i="36"/>
  <c r="F27" i="36" s="1"/>
  <c r="A28" i="37"/>
  <c r="C28" i="37" s="1"/>
  <c r="M27" i="37"/>
  <c r="N27" i="37" s="1"/>
  <c r="V27" i="37"/>
  <c r="AE27" i="37"/>
  <c r="AF27" i="37" s="1"/>
  <c r="O27" i="37"/>
  <c r="D27" i="37"/>
  <c r="B27" i="37"/>
  <c r="L27" i="37"/>
  <c r="O28" i="36"/>
  <c r="B28" i="36"/>
  <c r="AE28" i="36"/>
  <c r="AF28" i="36" s="1"/>
  <c r="V28" i="36"/>
  <c r="M28" i="36"/>
  <c r="N28" i="36" s="1"/>
  <c r="D28" i="36"/>
  <c r="A29" i="36"/>
  <c r="C29" i="36" s="1"/>
  <c r="L28" i="36"/>
  <c r="C25" i="31"/>
  <c r="C26" i="25"/>
  <c r="C27" i="28"/>
  <c r="C25" i="30"/>
  <c r="H17" i="33"/>
  <c r="A20" i="11"/>
  <c r="B19" i="11"/>
  <c r="M19" i="11"/>
  <c r="AE19" i="11"/>
  <c r="AF19" i="11" s="1"/>
  <c r="F27" i="25" s="1"/>
  <c r="H19" i="11"/>
  <c r="V19" i="11"/>
  <c r="V20" i="11" s="1"/>
  <c r="D25" i="31"/>
  <c r="D27" i="28"/>
  <c r="D25" i="30"/>
  <c r="D26" i="25"/>
  <c r="I17" i="33"/>
  <c r="J17" i="33"/>
  <c r="L24" i="31"/>
  <c r="W7" i="19"/>
  <c r="X8" i="19" s="1"/>
  <c r="M24" i="31"/>
  <c r="E27" i="28"/>
  <c r="E25" i="31"/>
  <c r="E25" i="30"/>
  <c r="E26" i="25"/>
  <c r="A20" i="19"/>
  <c r="J20" i="19" s="1"/>
  <c r="M19" i="19"/>
  <c r="N19" i="19" s="1"/>
  <c r="B19" i="19"/>
  <c r="AE19" i="19"/>
  <c r="AF19" i="19" s="1"/>
  <c r="G27" i="25" s="1"/>
  <c r="V19" i="19"/>
  <c r="L16" i="19"/>
  <c r="G24" i="28"/>
  <c r="L11" i="11"/>
  <c r="F19" i="28"/>
  <c r="G8" i="19"/>
  <c r="D7" i="19"/>
  <c r="I15" i="28"/>
  <c r="AC7" i="19"/>
  <c r="AD7" i="19" s="1"/>
  <c r="L6" i="33" s="1"/>
  <c r="F6" i="19"/>
  <c r="F7" i="19" s="1"/>
  <c r="F8" i="19" s="1"/>
  <c r="F9" i="19" s="1"/>
  <c r="F10" i="19" s="1"/>
  <c r="F11" i="19" s="1"/>
  <c r="F12" i="19" s="1"/>
  <c r="F13" i="19" s="1"/>
  <c r="F14" i="19" s="1"/>
  <c r="F15" i="19" s="1"/>
  <c r="F16" i="19" s="1"/>
  <c r="F17" i="19" s="1"/>
  <c r="F18" i="19" s="1"/>
  <c r="I6" i="11"/>
  <c r="J29" i="36" l="1"/>
  <c r="I29" i="36"/>
  <c r="J28" i="37"/>
  <c r="J20" i="11"/>
  <c r="C20" i="11"/>
  <c r="I28" i="37"/>
  <c r="H28" i="37"/>
  <c r="K6" i="11"/>
  <c r="J15" i="28" s="1"/>
  <c r="N13" i="31"/>
  <c r="R6" i="11"/>
  <c r="P8" i="19"/>
  <c r="O15" i="31"/>
  <c r="M25" i="31"/>
  <c r="K8" i="19"/>
  <c r="P15" i="37"/>
  <c r="Q15" i="37" s="1"/>
  <c r="Q22" i="31"/>
  <c r="G16" i="11"/>
  <c r="K15" i="37"/>
  <c r="M24" i="28" s="1"/>
  <c r="P15" i="36"/>
  <c r="Q15" i="36" s="1"/>
  <c r="P22" i="31"/>
  <c r="K15" i="36"/>
  <c r="L24" i="28" s="1"/>
  <c r="U12" i="36"/>
  <c r="I20" i="19"/>
  <c r="C20" i="19"/>
  <c r="E20" i="19" s="1"/>
  <c r="H20" i="19"/>
  <c r="E27" i="37"/>
  <c r="F27" i="37" s="1"/>
  <c r="H27" i="36"/>
  <c r="W10" i="37"/>
  <c r="X11" i="37" s="1"/>
  <c r="Y11" i="37" s="1"/>
  <c r="Z11" i="37" s="1"/>
  <c r="K17" i="30"/>
  <c r="AB10" i="37"/>
  <c r="G16" i="37"/>
  <c r="AA12" i="36"/>
  <c r="W14" i="36"/>
  <c r="X15" i="36" s="1"/>
  <c r="Y15" i="36" s="1"/>
  <c r="W15" i="36" s="1"/>
  <c r="X16" i="36" s="1"/>
  <c r="Y16" i="36" s="1"/>
  <c r="W16" i="36" s="1"/>
  <c r="X17" i="36" s="1"/>
  <c r="Y17" i="36" s="1"/>
  <c r="W17" i="36" s="1"/>
  <c r="X18" i="36" s="1"/>
  <c r="Y18" i="36" s="1"/>
  <c r="W18" i="36" s="1"/>
  <c r="AD12" i="36"/>
  <c r="AC13" i="36"/>
  <c r="K17" i="31"/>
  <c r="S11" i="37"/>
  <c r="T11" i="37" s="1"/>
  <c r="J19" i="31"/>
  <c r="S13" i="36"/>
  <c r="T13" i="36" s="1"/>
  <c r="R13" i="36" s="1"/>
  <c r="G16" i="36"/>
  <c r="AC10" i="37"/>
  <c r="V28" i="37"/>
  <c r="A29" i="37"/>
  <c r="C29" i="37" s="1"/>
  <c r="L28" i="37"/>
  <c r="D28" i="37"/>
  <c r="M28" i="37"/>
  <c r="N28" i="37" s="1"/>
  <c r="E28" i="37"/>
  <c r="B28" i="37"/>
  <c r="AE28" i="37"/>
  <c r="AF28" i="37" s="1"/>
  <c r="O28" i="37"/>
  <c r="AE29" i="36"/>
  <c r="AF29" i="36" s="1"/>
  <c r="O29" i="36"/>
  <c r="B29" i="36"/>
  <c r="A30" i="36"/>
  <c r="C30" i="36" s="1"/>
  <c r="M29" i="36"/>
  <c r="N29" i="36" s="1"/>
  <c r="V29" i="36"/>
  <c r="L29" i="36"/>
  <c r="D29" i="36"/>
  <c r="E28" i="36"/>
  <c r="F28" i="36" s="1"/>
  <c r="C26" i="30"/>
  <c r="C27" i="25"/>
  <c r="H18" i="33"/>
  <c r="C26" i="31"/>
  <c r="C28" i="28"/>
  <c r="A21" i="11"/>
  <c r="B20" i="11"/>
  <c r="M20" i="11"/>
  <c r="AE20" i="11"/>
  <c r="AF20" i="11" s="1"/>
  <c r="F28" i="25" s="1"/>
  <c r="H20" i="11"/>
  <c r="AA6" i="11"/>
  <c r="AB6" i="11" s="1"/>
  <c r="M5" i="33" s="1"/>
  <c r="D26" i="30"/>
  <c r="D26" i="31"/>
  <c r="D27" i="25"/>
  <c r="D28" i="28"/>
  <c r="I18" i="33"/>
  <c r="J18" i="33"/>
  <c r="L25" i="31"/>
  <c r="F19" i="19"/>
  <c r="A21" i="19"/>
  <c r="J21" i="19" s="1"/>
  <c r="M20" i="19"/>
  <c r="N20" i="19" s="1"/>
  <c r="B20" i="19"/>
  <c r="AE20" i="19"/>
  <c r="AF20" i="19" s="1"/>
  <c r="G28" i="25" s="1"/>
  <c r="E27" i="25"/>
  <c r="E26" i="31"/>
  <c r="E28" i="28"/>
  <c r="E26" i="30"/>
  <c r="V20" i="19"/>
  <c r="V21" i="19" s="1"/>
  <c r="O20" i="19"/>
  <c r="I7" i="11"/>
  <c r="G9" i="19"/>
  <c r="L17" i="19"/>
  <c r="G25" i="28"/>
  <c r="Q7" i="19"/>
  <c r="L12" i="11"/>
  <c r="F20" i="28"/>
  <c r="G14" i="31"/>
  <c r="D8" i="19"/>
  <c r="I16" i="28"/>
  <c r="P2" i="11"/>
  <c r="P6" i="11" s="1"/>
  <c r="H29" i="37" l="1"/>
  <c r="J29" i="37"/>
  <c r="I29" i="37"/>
  <c r="I30" i="36"/>
  <c r="J21" i="11"/>
  <c r="C21" i="11"/>
  <c r="J30" i="36"/>
  <c r="R11" i="37"/>
  <c r="S12" i="37" s="1"/>
  <c r="T12" i="37" s="1"/>
  <c r="R12" i="37" s="1"/>
  <c r="U11" i="37"/>
  <c r="K18" i="30" s="1"/>
  <c r="K9" i="19"/>
  <c r="K18" i="28" s="1"/>
  <c r="K17" i="28"/>
  <c r="P16" i="37"/>
  <c r="Q16" i="37" s="1"/>
  <c r="Q23" i="31"/>
  <c r="P16" i="36"/>
  <c r="Q16" i="36" s="1"/>
  <c r="P23" i="31"/>
  <c r="K16" i="37"/>
  <c r="M25" i="28" s="1"/>
  <c r="P9" i="19"/>
  <c r="O16" i="31"/>
  <c r="N14" i="31"/>
  <c r="P7" i="11"/>
  <c r="K16" i="36"/>
  <c r="L25" i="28" s="1"/>
  <c r="G17" i="11"/>
  <c r="K7" i="11"/>
  <c r="U6" i="11"/>
  <c r="H13" i="30" s="1"/>
  <c r="U13" i="36"/>
  <c r="C21" i="19"/>
  <c r="E21" i="19" s="1"/>
  <c r="H21" i="19"/>
  <c r="F28" i="37"/>
  <c r="H28" i="36"/>
  <c r="Z15" i="36"/>
  <c r="Z16" i="36" s="1"/>
  <c r="Z17" i="36" s="1"/>
  <c r="Z18" i="36" s="1"/>
  <c r="J19" i="30"/>
  <c r="J20" i="31"/>
  <c r="S14" i="36"/>
  <c r="T14" i="36" s="1"/>
  <c r="R14" i="36" s="1"/>
  <c r="AA13" i="36"/>
  <c r="AB12" i="36"/>
  <c r="AA11" i="37"/>
  <c r="AD10" i="37"/>
  <c r="AC11" i="37"/>
  <c r="AD13" i="36"/>
  <c r="AC14" i="36"/>
  <c r="X19" i="36"/>
  <c r="Y19" i="36" s="1"/>
  <c r="G17" i="36"/>
  <c r="W11" i="37"/>
  <c r="X12" i="37" s="1"/>
  <c r="Y12" i="37" s="1"/>
  <c r="W12" i="37" s="1"/>
  <c r="G17" i="37"/>
  <c r="AE29" i="37"/>
  <c r="AF29" i="37" s="1"/>
  <c r="O29" i="37"/>
  <c r="B29" i="37"/>
  <c r="M29" i="37"/>
  <c r="A30" i="37"/>
  <c r="C30" i="37" s="1"/>
  <c r="V29" i="37"/>
  <c r="L29" i="37"/>
  <c r="N29" i="37"/>
  <c r="D29" i="37"/>
  <c r="E29" i="37"/>
  <c r="E29" i="36"/>
  <c r="F29" i="36" s="1"/>
  <c r="L30" i="36"/>
  <c r="D30" i="36"/>
  <c r="AE30" i="36"/>
  <c r="AF30" i="36" s="1"/>
  <c r="O30" i="36"/>
  <c r="B30" i="36"/>
  <c r="V30" i="36"/>
  <c r="A31" i="36"/>
  <c r="C31" i="36" s="1"/>
  <c r="M30" i="36"/>
  <c r="N30" i="36" s="1"/>
  <c r="A22" i="11"/>
  <c r="B21" i="11"/>
  <c r="M21" i="11"/>
  <c r="N21" i="11" s="1"/>
  <c r="AE21" i="11"/>
  <c r="AF21" i="11" s="1"/>
  <c r="F29" i="25" s="1"/>
  <c r="H21" i="11"/>
  <c r="C27" i="30"/>
  <c r="C27" i="31"/>
  <c r="C28" i="25"/>
  <c r="C29" i="28"/>
  <c r="H19" i="33"/>
  <c r="V21" i="11"/>
  <c r="V22" i="11" s="1"/>
  <c r="D28" i="25"/>
  <c r="D27" i="30"/>
  <c r="D29" i="28"/>
  <c r="D27" i="31"/>
  <c r="I19" i="33"/>
  <c r="J19" i="33"/>
  <c r="L26" i="31"/>
  <c r="A22" i="19"/>
  <c r="J22" i="19" s="1"/>
  <c r="M21" i="19"/>
  <c r="N21" i="19" s="1"/>
  <c r="B21" i="19"/>
  <c r="AE21" i="19"/>
  <c r="AF21" i="19" s="1"/>
  <c r="G29" i="25" s="1"/>
  <c r="M26" i="31"/>
  <c r="E27" i="30"/>
  <c r="E28" i="25"/>
  <c r="E27" i="31"/>
  <c r="E29" i="28"/>
  <c r="F20" i="19"/>
  <c r="O21" i="19"/>
  <c r="I21" i="19"/>
  <c r="Q8" i="19"/>
  <c r="L13" i="11"/>
  <c r="F21" i="28"/>
  <c r="G10" i="19"/>
  <c r="N9" i="11"/>
  <c r="N16" i="11"/>
  <c r="N14" i="11"/>
  <c r="E7" i="11"/>
  <c r="N7" i="11"/>
  <c r="E13" i="11"/>
  <c r="E18" i="11"/>
  <c r="E17" i="11"/>
  <c r="E14" i="11"/>
  <c r="E12" i="11"/>
  <c r="N20" i="11"/>
  <c r="E9" i="11"/>
  <c r="E20" i="11"/>
  <c r="N10" i="11"/>
  <c r="E16" i="11"/>
  <c r="N6" i="11"/>
  <c r="N12" i="11"/>
  <c r="N19" i="11"/>
  <c r="E6" i="11"/>
  <c r="N17" i="11"/>
  <c r="E8" i="11"/>
  <c r="N8" i="11"/>
  <c r="E15" i="11"/>
  <c r="N15" i="11"/>
  <c r="E10" i="11"/>
  <c r="N13" i="11"/>
  <c r="N18" i="11"/>
  <c r="E11" i="11"/>
  <c r="N11" i="11"/>
  <c r="E19" i="11"/>
  <c r="L18" i="19"/>
  <c r="G26" i="28"/>
  <c r="I8" i="11"/>
  <c r="D9" i="19"/>
  <c r="I17" i="28"/>
  <c r="H13" i="31"/>
  <c r="S7" i="11"/>
  <c r="Y8" i="19"/>
  <c r="K18" i="31" l="1"/>
  <c r="I22" i="19"/>
  <c r="I31" i="36"/>
  <c r="J31" i="36"/>
  <c r="I30" i="37"/>
  <c r="J30" i="37"/>
  <c r="O22" i="19"/>
  <c r="J22" i="11"/>
  <c r="C22" i="11"/>
  <c r="H30" i="37"/>
  <c r="U12" i="37"/>
  <c r="K19" i="30" s="1"/>
  <c r="K17" i="36"/>
  <c r="L26" i="28" s="1"/>
  <c r="K8" i="11"/>
  <c r="J17" i="28" s="1"/>
  <c r="P10" i="19"/>
  <c r="O17" i="31"/>
  <c r="J16" i="28"/>
  <c r="G18" i="11"/>
  <c r="K17" i="37"/>
  <c r="M26" i="28" s="1"/>
  <c r="P17" i="37"/>
  <c r="Q17" i="37" s="1"/>
  <c r="Q24" i="31"/>
  <c r="N15" i="31"/>
  <c r="P8" i="11"/>
  <c r="P17" i="36"/>
  <c r="Q17" i="36" s="1"/>
  <c r="P24" i="31"/>
  <c r="K10" i="19"/>
  <c r="K19" i="28" s="1"/>
  <c r="U14" i="36"/>
  <c r="C22" i="19"/>
  <c r="E22" i="19" s="1"/>
  <c r="H22" i="19"/>
  <c r="F29" i="37"/>
  <c r="H29" i="36"/>
  <c r="Z19" i="36"/>
  <c r="W19" i="36"/>
  <c r="X20" i="36" s="1"/>
  <c r="Y20" i="36" s="1"/>
  <c r="Z12" i="37"/>
  <c r="G18" i="36"/>
  <c r="AD11" i="37"/>
  <c r="AC12" i="37"/>
  <c r="K19" i="31"/>
  <c r="S13" i="37"/>
  <c r="T13" i="37" s="1"/>
  <c r="R13" i="37" s="1"/>
  <c r="G18" i="37"/>
  <c r="AB13" i="36"/>
  <c r="AA14" i="36"/>
  <c r="X13" i="37"/>
  <c r="Y13" i="37" s="1"/>
  <c r="AD14" i="36"/>
  <c r="AC15" i="36"/>
  <c r="AB11" i="37"/>
  <c r="AA12" i="37"/>
  <c r="J21" i="31"/>
  <c r="S15" i="36"/>
  <c r="T15" i="36" s="1"/>
  <c r="R15" i="36" s="1"/>
  <c r="J20" i="30"/>
  <c r="E21" i="11"/>
  <c r="E30" i="36"/>
  <c r="F30" i="36" s="1"/>
  <c r="L30" i="37"/>
  <c r="D30" i="37"/>
  <c r="B30" i="37"/>
  <c r="M30" i="37"/>
  <c r="N30" i="37" s="1"/>
  <c r="AE30" i="37"/>
  <c r="AF30" i="37" s="1"/>
  <c r="V30" i="37"/>
  <c r="E30" i="37"/>
  <c r="A31" i="37"/>
  <c r="C31" i="37" s="1"/>
  <c r="O30" i="37"/>
  <c r="A32" i="36"/>
  <c r="C32" i="36" s="1"/>
  <c r="M31" i="36"/>
  <c r="D31" i="36"/>
  <c r="L31" i="36"/>
  <c r="AE31" i="36"/>
  <c r="AF31" i="36" s="1"/>
  <c r="O31" i="36"/>
  <c r="B31" i="36"/>
  <c r="E31" i="36" s="1"/>
  <c r="F31" i="36" s="1"/>
  <c r="V31" i="36"/>
  <c r="N31" i="36"/>
  <c r="C28" i="31"/>
  <c r="H20" i="33"/>
  <c r="C30" i="28"/>
  <c r="C28" i="30"/>
  <c r="C29" i="25"/>
  <c r="A23" i="11"/>
  <c r="M22" i="11"/>
  <c r="N22" i="11" s="1"/>
  <c r="B22" i="11"/>
  <c r="AE22" i="11"/>
  <c r="AF22" i="11" s="1"/>
  <c r="F30" i="25" s="1"/>
  <c r="H22" i="11"/>
  <c r="D30" i="28"/>
  <c r="D29" i="25"/>
  <c r="D28" i="30"/>
  <c r="D28" i="31"/>
  <c r="I20" i="33"/>
  <c r="J20" i="33"/>
  <c r="L27" i="31"/>
  <c r="M27" i="31"/>
  <c r="E28" i="31"/>
  <c r="E28" i="30"/>
  <c r="E30" i="28"/>
  <c r="E29" i="25"/>
  <c r="F21" i="19"/>
  <c r="A23" i="19"/>
  <c r="J23" i="19" s="1"/>
  <c r="B22" i="19"/>
  <c r="M22" i="19"/>
  <c r="N22" i="19" s="1"/>
  <c r="AE22" i="19"/>
  <c r="AF22" i="19" s="1"/>
  <c r="G30" i="25" s="1"/>
  <c r="O23" i="19"/>
  <c r="V22" i="19"/>
  <c r="Q9" i="19"/>
  <c r="L19" i="19"/>
  <c r="G27" i="28"/>
  <c r="L14" i="11"/>
  <c r="F22" i="28"/>
  <c r="G11" i="19"/>
  <c r="I9" i="11"/>
  <c r="Z8" i="19"/>
  <c r="G15" i="30" s="1"/>
  <c r="W8" i="19"/>
  <c r="D10" i="19"/>
  <c r="I18" i="28"/>
  <c r="AC8" i="19"/>
  <c r="AD8" i="19" s="1"/>
  <c r="O6" i="11"/>
  <c r="O7" i="11" s="1"/>
  <c r="O8" i="11" s="1"/>
  <c r="O9" i="11" s="1"/>
  <c r="O10" i="11" s="1"/>
  <c r="O11" i="11" s="1"/>
  <c r="O12" i="11" s="1"/>
  <c r="O13" i="11" s="1"/>
  <c r="O14" i="11" s="1"/>
  <c r="O15" i="11" s="1"/>
  <c r="O16" i="11" s="1"/>
  <c r="O17" i="11" s="1"/>
  <c r="O18" i="11" s="1"/>
  <c r="O19" i="11" s="1"/>
  <c r="O20" i="11" s="1"/>
  <c r="O21" i="11" s="1"/>
  <c r="O22" i="11" s="1"/>
  <c r="O23" i="11" s="1"/>
  <c r="H31" i="37" l="1"/>
  <c r="J31" i="37"/>
  <c r="I31" i="37"/>
  <c r="J32" i="36"/>
  <c r="J23" i="11"/>
  <c r="C23" i="11"/>
  <c r="I32" i="36"/>
  <c r="U13" i="37"/>
  <c r="K20" i="30" s="1"/>
  <c r="K18" i="36"/>
  <c r="K11" i="19"/>
  <c r="K20" i="28" s="1"/>
  <c r="N16" i="31"/>
  <c r="P9" i="11"/>
  <c r="K9" i="11"/>
  <c r="J18" i="28" s="1"/>
  <c r="K18" i="37"/>
  <c r="M27" i="28" s="1"/>
  <c r="P11" i="19"/>
  <c r="O18" i="31"/>
  <c r="P18" i="36"/>
  <c r="Q18" i="36" s="1"/>
  <c r="P25" i="31"/>
  <c r="G19" i="11"/>
  <c r="M28" i="31"/>
  <c r="P18" i="37"/>
  <c r="Q18" i="37" s="1"/>
  <c r="Q25" i="31"/>
  <c r="U15" i="36"/>
  <c r="C23" i="19"/>
  <c r="E23" i="19" s="1"/>
  <c r="H23" i="19"/>
  <c r="I23" i="19"/>
  <c r="V23" i="19"/>
  <c r="Z13" i="37"/>
  <c r="F30" i="37"/>
  <c r="H30" i="36"/>
  <c r="H31" i="36" s="1"/>
  <c r="H32" i="36" s="1"/>
  <c r="Z20" i="36"/>
  <c r="J21" i="30"/>
  <c r="AB12" i="37"/>
  <c r="AA13" i="37"/>
  <c r="W13" i="37"/>
  <c r="G19" i="37"/>
  <c r="L27" i="28"/>
  <c r="K20" i="31"/>
  <c r="S14" i="37"/>
  <c r="T14" i="37" s="1"/>
  <c r="R14" i="37" s="1"/>
  <c r="G19" i="36"/>
  <c r="J22" i="31"/>
  <c r="S16" i="36"/>
  <c r="T16" i="36" s="1"/>
  <c r="R16" i="36" s="1"/>
  <c r="AD15" i="36"/>
  <c r="AC16" i="36"/>
  <c r="AC13" i="37"/>
  <c r="AD12" i="37"/>
  <c r="W20" i="36"/>
  <c r="AA15" i="36"/>
  <c r="AB14" i="36"/>
  <c r="AE31" i="37"/>
  <c r="AF31" i="37" s="1"/>
  <c r="O31" i="37"/>
  <c r="M31" i="37"/>
  <c r="N31" i="37" s="1"/>
  <c r="V31" i="37"/>
  <c r="D31" i="37"/>
  <c r="B31" i="37"/>
  <c r="E31" i="37"/>
  <c r="L31" i="37"/>
  <c r="A32" i="37"/>
  <c r="C32" i="37" s="1"/>
  <c r="V32" i="36"/>
  <c r="A33" i="36"/>
  <c r="C33" i="36" s="1"/>
  <c r="M32" i="36"/>
  <c r="N32" i="36" s="1"/>
  <c r="L32" i="36"/>
  <c r="D32" i="36"/>
  <c r="B32" i="36"/>
  <c r="E32" i="36" s="1"/>
  <c r="F32" i="36" s="1"/>
  <c r="AE32" i="36"/>
  <c r="AF32" i="36" s="1"/>
  <c r="O32" i="36"/>
  <c r="A24" i="11"/>
  <c r="O24" i="11" s="1"/>
  <c r="B23" i="11"/>
  <c r="M23" i="11"/>
  <c r="N23" i="11" s="1"/>
  <c r="AE23" i="11"/>
  <c r="AF23" i="11" s="1"/>
  <c r="F31" i="25" s="1"/>
  <c r="H23" i="11"/>
  <c r="V23" i="11"/>
  <c r="V24" i="11" s="1"/>
  <c r="C29" i="31"/>
  <c r="C31" i="28"/>
  <c r="H21" i="33"/>
  <c r="C29" i="30"/>
  <c r="C30" i="25"/>
  <c r="E22" i="11"/>
  <c r="D29" i="31"/>
  <c r="D31" i="28"/>
  <c r="D30" i="25"/>
  <c r="D29" i="30"/>
  <c r="Q10" i="19"/>
  <c r="I21" i="33"/>
  <c r="J21" i="33"/>
  <c r="L28" i="31"/>
  <c r="E29" i="30"/>
  <c r="E31" i="28"/>
  <c r="E30" i="25"/>
  <c r="E29" i="31"/>
  <c r="F22" i="19"/>
  <c r="A24" i="19"/>
  <c r="J24" i="19" s="1"/>
  <c r="M23" i="19"/>
  <c r="N23" i="19" s="1"/>
  <c r="B23" i="19"/>
  <c r="AE23" i="19"/>
  <c r="AF23" i="19" s="1"/>
  <c r="G31" i="25" s="1"/>
  <c r="L20" i="19"/>
  <c r="G28" i="28"/>
  <c r="G12" i="19"/>
  <c r="L15" i="11"/>
  <c r="F23" i="28"/>
  <c r="I10" i="11"/>
  <c r="D11" i="19"/>
  <c r="I19" i="28"/>
  <c r="L7" i="33"/>
  <c r="X9" i="19"/>
  <c r="Y9" i="19" s="1"/>
  <c r="W9" i="19" s="1"/>
  <c r="G15" i="31"/>
  <c r="K20" i="1"/>
  <c r="J33" i="36" l="1"/>
  <c r="J24" i="11"/>
  <c r="C24" i="11"/>
  <c r="I33" i="36"/>
  <c r="I32" i="37"/>
  <c r="H33" i="36"/>
  <c r="J32" i="37"/>
  <c r="H32" i="37"/>
  <c r="F31" i="37"/>
  <c r="U14" i="37"/>
  <c r="K21" i="30" s="1"/>
  <c r="P19" i="36"/>
  <c r="Q19" i="36" s="1"/>
  <c r="P26" i="31"/>
  <c r="P12" i="19"/>
  <c r="O19" i="31"/>
  <c r="P19" i="37"/>
  <c r="Q19" i="37" s="1"/>
  <c r="Q26" i="31"/>
  <c r="P10" i="11"/>
  <c r="N17" i="31"/>
  <c r="K19" i="37"/>
  <c r="M28" i="28" s="1"/>
  <c r="K12" i="19"/>
  <c r="K21" i="28" s="1"/>
  <c r="G20" i="11"/>
  <c r="K10" i="11"/>
  <c r="J19" i="28" s="1"/>
  <c r="K19" i="36"/>
  <c r="L28" i="28" s="1"/>
  <c r="U16" i="36"/>
  <c r="C24" i="19"/>
  <c r="E24" i="19" s="1"/>
  <c r="H24" i="19"/>
  <c r="X21" i="36"/>
  <c r="Y21" i="36" s="1"/>
  <c r="Z21" i="36" s="1"/>
  <c r="AD16" i="36"/>
  <c r="AC17" i="36"/>
  <c r="AB13" i="37"/>
  <c r="AA14" i="37"/>
  <c r="G20" i="36"/>
  <c r="AD13" i="37"/>
  <c r="J23" i="31"/>
  <c r="S17" i="36"/>
  <c r="T17" i="36" s="1"/>
  <c r="R17" i="36" s="1"/>
  <c r="G20" i="37"/>
  <c r="J22" i="30"/>
  <c r="AA16" i="36"/>
  <c r="AB15" i="36"/>
  <c r="X14" i="37"/>
  <c r="Y14" i="37" s="1"/>
  <c r="Z14" i="37" s="1"/>
  <c r="Q11" i="19"/>
  <c r="L32" i="37"/>
  <c r="B32" i="37"/>
  <c r="M32" i="37"/>
  <c r="N32" i="37" s="1"/>
  <c r="E32" i="37"/>
  <c r="A33" i="37"/>
  <c r="C33" i="37" s="1"/>
  <c r="D32" i="37"/>
  <c r="V32" i="37"/>
  <c r="AE32" i="37"/>
  <c r="AF32" i="37" s="1"/>
  <c r="O32" i="37"/>
  <c r="AE33" i="36"/>
  <c r="AF33" i="36" s="1"/>
  <c r="O33" i="36"/>
  <c r="B33" i="36"/>
  <c r="V33" i="36"/>
  <c r="A34" i="36"/>
  <c r="C34" i="36" s="1"/>
  <c r="M33" i="36"/>
  <c r="N33" i="36" s="1"/>
  <c r="D33" i="36"/>
  <c r="L33" i="36"/>
  <c r="C32" i="28"/>
  <c r="H22" i="33"/>
  <c r="C30" i="30"/>
  <c r="C31" i="25"/>
  <c r="C30" i="31"/>
  <c r="E23" i="11"/>
  <c r="A25" i="11"/>
  <c r="B24" i="11"/>
  <c r="M24" i="11"/>
  <c r="N24" i="11" s="1"/>
  <c r="AE24" i="11"/>
  <c r="AF24" i="11" s="1"/>
  <c r="F32" i="25" s="1"/>
  <c r="H24" i="11"/>
  <c r="D30" i="30"/>
  <c r="D30" i="31"/>
  <c r="D32" i="28"/>
  <c r="D31" i="25"/>
  <c r="I22" i="33"/>
  <c r="J22" i="33"/>
  <c r="L29" i="31"/>
  <c r="M29" i="31"/>
  <c r="A25" i="19"/>
  <c r="J25" i="19" s="1"/>
  <c r="M24" i="19"/>
  <c r="N24" i="19" s="1"/>
  <c r="B24" i="19"/>
  <c r="AE24" i="19"/>
  <c r="AF24" i="19" s="1"/>
  <c r="G32" i="25" s="1"/>
  <c r="F23" i="19"/>
  <c r="I24" i="19"/>
  <c r="I25" i="19" s="1"/>
  <c r="E31" i="25"/>
  <c r="E32" i="28"/>
  <c r="E30" i="31"/>
  <c r="E30" i="30"/>
  <c r="V24" i="19"/>
  <c r="V25" i="19" s="1"/>
  <c r="O24" i="19"/>
  <c r="O25" i="19" s="1"/>
  <c r="G13" i="19"/>
  <c r="I11" i="11"/>
  <c r="L16" i="11"/>
  <c r="F24" i="28"/>
  <c r="L21" i="19"/>
  <c r="G29" i="28"/>
  <c r="Z9" i="19"/>
  <c r="D12" i="19"/>
  <c r="I20" i="28"/>
  <c r="AC9" i="19"/>
  <c r="AD9" i="19" s="1"/>
  <c r="H33" i="37" l="1"/>
  <c r="I34" i="36"/>
  <c r="J33" i="37"/>
  <c r="H34" i="36"/>
  <c r="O25" i="11"/>
  <c r="J25" i="11"/>
  <c r="C25" i="11"/>
  <c r="I33" i="37"/>
  <c r="J34" i="36"/>
  <c r="P20" i="37"/>
  <c r="Q20" i="37" s="1"/>
  <c r="Q27" i="31"/>
  <c r="P11" i="11"/>
  <c r="N18" i="31"/>
  <c r="K20" i="36"/>
  <c r="L29" i="28" s="1"/>
  <c r="P13" i="19"/>
  <c r="O20" i="31"/>
  <c r="P20" i="36"/>
  <c r="Q20" i="36" s="1"/>
  <c r="P27" i="31"/>
  <c r="K11" i="11"/>
  <c r="K13" i="19"/>
  <c r="K22" i="28" s="1"/>
  <c r="G21" i="11"/>
  <c r="K20" i="37"/>
  <c r="M29" i="28" s="1"/>
  <c r="U17" i="36"/>
  <c r="C25" i="19"/>
  <c r="E25" i="19" s="1"/>
  <c r="H25" i="19"/>
  <c r="F32" i="37"/>
  <c r="E33" i="36"/>
  <c r="F33" i="36" s="1"/>
  <c r="AC14" i="37"/>
  <c r="AD14" i="37" s="1"/>
  <c r="W14" i="37"/>
  <c r="X15" i="37" s="1"/>
  <c r="Y15" i="37" s="1"/>
  <c r="Z15" i="37" s="1"/>
  <c r="K21" i="31"/>
  <c r="S15" i="37"/>
  <c r="T15" i="37" s="1"/>
  <c r="U15" i="37" s="1"/>
  <c r="AD17" i="36"/>
  <c r="AC18" i="36"/>
  <c r="AA17" i="36"/>
  <c r="AB16" i="36"/>
  <c r="G21" i="37"/>
  <c r="G21" i="36"/>
  <c r="J23" i="30"/>
  <c r="J24" i="31"/>
  <c r="S18" i="36"/>
  <c r="T18" i="36" s="1"/>
  <c r="R18" i="36" s="1"/>
  <c r="AB14" i="37"/>
  <c r="W21" i="36"/>
  <c r="Q12" i="19"/>
  <c r="A34" i="37"/>
  <c r="C34" i="37" s="1"/>
  <c r="M33" i="37"/>
  <c r="N33" i="37" s="1"/>
  <c r="AE33" i="37"/>
  <c r="AF33" i="37" s="1"/>
  <c r="O33" i="37"/>
  <c r="E33" i="37"/>
  <c r="B33" i="37"/>
  <c r="V33" i="37"/>
  <c r="L33" i="37"/>
  <c r="L34" i="36"/>
  <c r="AE34" i="36"/>
  <c r="AF34" i="36" s="1"/>
  <c r="O34" i="36"/>
  <c r="B34" i="36"/>
  <c r="E34" i="36" s="1"/>
  <c r="F34" i="36" s="1"/>
  <c r="V34" i="36"/>
  <c r="D34" i="36"/>
  <c r="A35" i="36"/>
  <c r="C35" i="36" s="1"/>
  <c r="M34" i="36"/>
  <c r="N34" i="36" s="1"/>
  <c r="C31" i="30"/>
  <c r="C32" i="25"/>
  <c r="H23" i="33"/>
  <c r="C33" i="28"/>
  <c r="C31" i="31"/>
  <c r="E24" i="11"/>
  <c r="A26" i="11"/>
  <c r="C26" i="11" s="1"/>
  <c r="B25" i="11"/>
  <c r="M25" i="11"/>
  <c r="N25" i="11" s="1"/>
  <c r="AE25" i="11"/>
  <c r="AF25" i="11" s="1"/>
  <c r="F33" i="25" s="1"/>
  <c r="H25" i="11"/>
  <c r="V25" i="11"/>
  <c r="D32" i="25"/>
  <c r="D31" i="30"/>
  <c r="D31" i="31"/>
  <c r="D33" i="28"/>
  <c r="I23" i="33"/>
  <c r="J23" i="33"/>
  <c r="L30" i="31"/>
  <c r="J20" i="28"/>
  <c r="E32" i="25"/>
  <c r="E31" i="31"/>
  <c r="E31" i="30"/>
  <c r="E33" i="28"/>
  <c r="I26" i="19"/>
  <c r="A26" i="19"/>
  <c r="J26" i="19" s="1"/>
  <c r="B25" i="19"/>
  <c r="M25" i="19"/>
  <c r="N25" i="19" s="1"/>
  <c r="AE25" i="19"/>
  <c r="AF25" i="19" s="1"/>
  <c r="G33" i="25" s="1"/>
  <c r="O26" i="19"/>
  <c r="F24" i="19"/>
  <c r="M30" i="31"/>
  <c r="L22" i="19"/>
  <c r="G30" i="28"/>
  <c r="G14" i="19"/>
  <c r="L17" i="11"/>
  <c r="F25" i="28"/>
  <c r="I12" i="11"/>
  <c r="D13" i="19"/>
  <c r="I21" i="28"/>
  <c r="L8" i="33"/>
  <c r="G16" i="30"/>
  <c r="X10" i="19"/>
  <c r="Y10" i="19" s="1"/>
  <c r="Z10" i="19" s="1"/>
  <c r="G16" i="31"/>
  <c r="Q6" i="11"/>
  <c r="Q7" i="11" s="1"/>
  <c r="Q8" i="11" s="1"/>
  <c r="Q9" i="11" s="1"/>
  <c r="Q10" i="11" s="1"/>
  <c r="I16" i="1"/>
  <c r="I12" i="1"/>
  <c r="I8" i="1"/>
  <c r="I20" i="1" s="1"/>
  <c r="J26" i="11" l="1"/>
  <c r="J34" i="37"/>
  <c r="J35" i="36"/>
  <c r="I35" i="36"/>
  <c r="I34" i="37"/>
  <c r="H35" i="36"/>
  <c r="H34" i="37"/>
  <c r="P14" i="19"/>
  <c r="O21" i="31"/>
  <c r="P21" i="36"/>
  <c r="Q21" i="36" s="1"/>
  <c r="P28" i="31"/>
  <c r="P12" i="11"/>
  <c r="N19" i="31"/>
  <c r="K21" i="37"/>
  <c r="M30" i="28" s="1"/>
  <c r="K14" i="19"/>
  <c r="K23" i="28" s="1"/>
  <c r="M31" i="31"/>
  <c r="P21" i="37"/>
  <c r="Q21" i="37" s="1"/>
  <c r="Q28" i="31"/>
  <c r="G22" i="11"/>
  <c r="K12" i="11"/>
  <c r="K21" i="36"/>
  <c r="L30" i="28" s="1"/>
  <c r="U18" i="36"/>
  <c r="R15" i="37"/>
  <c r="C26" i="19"/>
  <c r="H26" i="19"/>
  <c r="D33" i="37"/>
  <c r="F33" i="37"/>
  <c r="Q13" i="19"/>
  <c r="AC15" i="37"/>
  <c r="AD15" i="37" s="1"/>
  <c r="W15" i="37"/>
  <c r="X16" i="37" s="1"/>
  <c r="Y16" i="37" s="1"/>
  <c r="Z16" i="37" s="1"/>
  <c r="Q11" i="11"/>
  <c r="G22" i="36"/>
  <c r="G22" i="37"/>
  <c r="K22" i="30"/>
  <c r="J24" i="30"/>
  <c r="AD18" i="36"/>
  <c r="AC19" i="36"/>
  <c r="X22" i="36"/>
  <c r="Y22" i="36" s="1"/>
  <c r="Z22" i="36" s="1"/>
  <c r="AA18" i="36"/>
  <c r="AB17" i="36"/>
  <c r="AA15" i="37"/>
  <c r="J25" i="31"/>
  <c r="S19" i="36"/>
  <c r="T19" i="36" s="1"/>
  <c r="R19" i="36" s="1"/>
  <c r="V34" i="37"/>
  <c r="O34" i="37"/>
  <c r="M34" i="37"/>
  <c r="N34" i="37" s="1"/>
  <c r="AE34" i="37"/>
  <c r="AF34" i="37" s="1"/>
  <c r="B34" i="37"/>
  <c r="D34" i="37"/>
  <c r="L34" i="37"/>
  <c r="A35" i="37"/>
  <c r="C35" i="37" s="1"/>
  <c r="A36" i="36"/>
  <c r="C36" i="36" s="1"/>
  <c r="M35" i="36"/>
  <c r="N35" i="36" s="1"/>
  <c r="L35" i="36"/>
  <c r="D35" i="36"/>
  <c r="AE35" i="36"/>
  <c r="AF35" i="36" s="1"/>
  <c r="O35" i="36"/>
  <c r="B35" i="36"/>
  <c r="E35" i="36" s="1"/>
  <c r="F35" i="36" s="1"/>
  <c r="V35" i="36"/>
  <c r="A27" i="11"/>
  <c r="C27" i="11" s="1"/>
  <c r="M26" i="11"/>
  <c r="N26" i="11" s="1"/>
  <c r="B26" i="11"/>
  <c r="AE26" i="11"/>
  <c r="AF26" i="11" s="1"/>
  <c r="F34" i="25" s="1"/>
  <c r="H26" i="11"/>
  <c r="V26" i="11"/>
  <c r="O26" i="11"/>
  <c r="C32" i="31"/>
  <c r="C34" i="28"/>
  <c r="C32" i="30"/>
  <c r="H24" i="33"/>
  <c r="C33" i="25"/>
  <c r="E25" i="11"/>
  <c r="D34" i="28"/>
  <c r="D33" i="25"/>
  <c r="D32" i="31"/>
  <c r="D32" i="30"/>
  <c r="I24" i="33"/>
  <c r="J24" i="33"/>
  <c r="L31" i="31"/>
  <c r="J21" i="28"/>
  <c r="E32" i="31"/>
  <c r="E34" i="28"/>
  <c r="E33" i="25"/>
  <c r="E32" i="30"/>
  <c r="F25" i="19"/>
  <c r="A27" i="19"/>
  <c r="J27" i="19" s="1"/>
  <c r="B26" i="19"/>
  <c r="M26" i="19"/>
  <c r="N26" i="19" s="1"/>
  <c r="AE26" i="19"/>
  <c r="AF26" i="19" s="1"/>
  <c r="G34" i="25" s="1"/>
  <c r="E26" i="19"/>
  <c r="V26" i="19"/>
  <c r="L18" i="11"/>
  <c r="F26" i="28"/>
  <c r="L23" i="19"/>
  <c r="G31" i="28"/>
  <c r="G15" i="19"/>
  <c r="I13" i="11"/>
  <c r="D14" i="19"/>
  <c r="I22" i="28"/>
  <c r="AC10" i="19"/>
  <c r="AD10" i="19" s="1"/>
  <c r="L9" i="33" s="1"/>
  <c r="W10" i="19"/>
  <c r="G17" i="31" s="1"/>
  <c r="G17" i="30"/>
  <c r="C6" i="1"/>
  <c r="E8" i="1"/>
  <c r="O27" i="11" l="1"/>
  <c r="V27" i="11"/>
  <c r="H35" i="37"/>
  <c r="J36" i="36"/>
  <c r="H36" i="36"/>
  <c r="J35" i="37"/>
  <c r="I35" i="37"/>
  <c r="J27" i="11"/>
  <c r="I36" i="36"/>
  <c r="P13" i="11"/>
  <c r="N20" i="31"/>
  <c r="K22" i="36"/>
  <c r="K15" i="19"/>
  <c r="K24" i="28" s="1"/>
  <c r="P15" i="19"/>
  <c r="O22" i="31"/>
  <c r="P22" i="36"/>
  <c r="Q22" i="36" s="1"/>
  <c r="P29" i="31"/>
  <c r="K13" i="11"/>
  <c r="J22" i="28" s="1"/>
  <c r="K22" i="37"/>
  <c r="M31" i="28" s="1"/>
  <c r="G23" i="11"/>
  <c r="P22" i="37"/>
  <c r="Q22" i="37" s="1"/>
  <c r="Q29" i="31"/>
  <c r="U19" i="36"/>
  <c r="C27" i="19"/>
  <c r="H27" i="19"/>
  <c r="E34" i="37"/>
  <c r="F34" i="37" s="1"/>
  <c r="Q14" i="19"/>
  <c r="Q12" i="11"/>
  <c r="W16" i="37"/>
  <c r="W22" i="36"/>
  <c r="AC16" i="37"/>
  <c r="J26" i="31"/>
  <c r="S20" i="36"/>
  <c r="T20" i="36" s="1"/>
  <c r="R20" i="36" s="1"/>
  <c r="G23" i="37"/>
  <c r="S16" i="37"/>
  <c r="T16" i="37" s="1"/>
  <c r="U16" i="37" s="1"/>
  <c r="K22" i="31"/>
  <c r="AD19" i="36"/>
  <c r="AC20" i="36"/>
  <c r="J25" i="30"/>
  <c r="L31" i="28"/>
  <c r="AB15" i="37"/>
  <c r="AB18" i="36"/>
  <c r="AA19" i="36"/>
  <c r="G23" i="36"/>
  <c r="AE35" i="37"/>
  <c r="AF35" i="37" s="1"/>
  <c r="O35" i="37"/>
  <c r="B35" i="37"/>
  <c r="A36" i="37"/>
  <c r="C36" i="37" s="1"/>
  <c r="V35" i="37"/>
  <c r="L35" i="37"/>
  <c r="M35" i="37"/>
  <c r="N35" i="37" s="1"/>
  <c r="D35" i="37"/>
  <c r="L36" i="36"/>
  <c r="AE36" i="36"/>
  <c r="AF36" i="36" s="1"/>
  <c r="M36" i="36"/>
  <c r="N36" i="36" s="1"/>
  <c r="V36" i="36"/>
  <c r="A37" i="36"/>
  <c r="C37" i="36" s="1"/>
  <c r="O36" i="36"/>
  <c r="D36" i="36"/>
  <c r="B36" i="36"/>
  <c r="E36" i="36" s="1"/>
  <c r="F36" i="36" s="1"/>
  <c r="C33" i="31"/>
  <c r="H25" i="33"/>
  <c r="C35" i="28"/>
  <c r="C33" i="30"/>
  <c r="C34" i="25"/>
  <c r="E26" i="11"/>
  <c r="A28" i="11"/>
  <c r="C28" i="11" s="1"/>
  <c r="B27" i="11"/>
  <c r="M27" i="11"/>
  <c r="N27" i="11" s="1"/>
  <c r="AE27" i="11"/>
  <c r="AF27" i="11" s="1"/>
  <c r="F35" i="25" s="1"/>
  <c r="H27" i="11"/>
  <c r="D33" i="31"/>
  <c r="D35" i="28"/>
  <c r="D33" i="30"/>
  <c r="D34" i="25"/>
  <c r="I25" i="33"/>
  <c r="J25" i="33"/>
  <c r="L32" i="31"/>
  <c r="F26" i="19"/>
  <c r="E34" i="25"/>
  <c r="E33" i="31"/>
  <c r="E35" i="28"/>
  <c r="E33" i="30"/>
  <c r="A28" i="19"/>
  <c r="J28" i="19" s="1"/>
  <c r="M27" i="19"/>
  <c r="N27" i="19" s="1"/>
  <c r="B27" i="19"/>
  <c r="AE27" i="19"/>
  <c r="AF27" i="19" s="1"/>
  <c r="G35" i="25" s="1"/>
  <c r="I27" i="19"/>
  <c r="V27" i="19"/>
  <c r="M32" i="31"/>
  <c r="O27" i="19"/>
  <c r="G16" i="19"/>
  <c r="L24" i="19"/>
  <c r="G32" i="28"/>
  <c r="L19" i="11"/>
  <c r="F27" i="28"/>
  <c r="I14" i="11"/>
  <c r="D15" i="19"/>
  <c r="I23" i="28"/>
  <c r="X11" i="19"/>
  <c r="Y11" i="19" s="1"/>
  <c r="O28" i="11" l="1"/>
  <c r="H37" i="36"/>
  <c r="V28" i="11"/>
  <c r="J28" i="11"/>
  <c r="J37" i="36"/>
  <c r="I36" i="37"/>
  <c r="H36" i="37"/>
  <c r="I37" i="36"/>
  <c r="J36" i="37"/>
  <c r="P14" i="11"/>
  <c r="N21" i="31"/>
  <c r="P23" i="37"/>
  <c r="Q23" i="37" s="1"/>
  <c r="Q30" i="31"/>
  <c r="K16" i="19"/>
  <c r="K25" i="28" s="1"/>
  <c r="P16" i="19"/>
  <c r="O23" i="31"/>
  <c r="P23" i="36"/>
  <c r="Q23" i="36" s="1"/>
  <c r="P30" i="31"/>
  <c r="K23" i="36"/>
  <c r="L32" i="28" s="1"/>
  <c r="K23" i="37"/>
  <c r="M32" i="28" s="1"/>
  <c r="G24" i="11"/>
  <c r="K14" i="11"/>
  <c r="J23" i="28" s="1"/>
  <c r="U20" i="36"/>
  <c r="R16" i="37"/>
  <c r="K23" i="31" s="1"/>
  <c r="C28" i="19"/>
  <c r="H28" i="19"/>
  <c r="V28" i="19"/>
  <c r="Q15" i="19"/>
  <c r="Q13" i="11"/>
  <c r="E35" i="37"/>
  <c r="F35" i="37" s="1"/>
  <c r="AA16" i="37"/>
  <c r="AB16" i="37" s="1"/>
  <c r="J26" i="30"/>
  <c r="G24" i="36"/>
  <c r="AD16" i="37"/>
  <c r="AB19" i="36"/>
  <c r="AA20" i="36"/>
  <c r="AD20" i="36"/>
  <c r="AC21" i="36"/>
  <c r="X23" i="36"/>
  <c r="Y23" i="36" s="1"/>
  <c r="Z23" i="36" s="1"/>
  <c r="G24" i="37"/>
  <c r="J27" i="31"/>
  <c r="S21" i="36"/>
  <c r="T21" i="36" s="1"/>
  <c r="R21" i="36" s="1"/>
  <c r="X17" i="37"/>
  <c r="Y17" i="37" s="1"/>
  <c r="Z17" i="37" s="1"/>
  <c r="L36" i="37"/>
  <c r="M36" i="37"/>
  <c r="AE36" i="37"/>
  <c r="AF36" i="37" s="1"/>
  <c r="B36" i="37"/>
  <c r="V36" i="37"/>
  <c r="O36" i="37"/>
  <c r="D36" i="37"/>
  <c r="N36" i="37"/>
  <c r="E36" i="37"/>
  <c r="A37" i="37"/>
  <c r="C37" i="37" s="1"/>
  <c r="A38" i="36"/>
  <c r="C38" i="36" s="1"/>
  <c r="M37" i="36"/>
  <c r="L37" i="36"/>
  <c r="D37" i="36"/>
  <c r="V37" i="36"/>
  <c r="N37" i="36"/>
  <c r="B37" i="36"/>
  <c r="AE37" i="36"/>
  <c r="AF37" i="36" s="1"/>
  <c r="O37" i="36"/>
  <c r="C36" i="28"/>
  <c r="C34" i="30"/>
  <c r="C34" i="31"/>
  <c r="C35" i="25"/>
  <c r="H26" i="33"/>
  <c r="E27" i="11"/>
  <c r="A29" i="11"/>
  <c r="B28" i="11"/>
  <c r="M28" i="11"/>
  <c r="N28" i="11" s="1"/>
  <c r="AE28" i="11"/>
  <c r="AF28" i="11" s="1"/>
  <c r="F36" i="25" s="1"/>
  <c r="H28" i="11"/>
  <c r="D34" i="30"/>
  <c r="D34" i="31"/>
  <c r="D35" i="25"/>
  <c r="D36" i="28"/>
  <c r="I26" i="33"/>
  <c r="J26" i="33"/>
  <c r="L33" i="31"/>
  <c r="M33" i="31"/>
  <c r="A29" i="19"/>
  <c r="J29" i="19" s="1"/>
  <c r="M28" i="19"/>
  <c r="B28" i="19"/>
  <c r="AE28" i="19"/>
  <c r="AF28" i="19" s="1"/>
  <c r="G36" i="25" s="1"/>
  <c r="E28" i="19"/>
  <c r="N28" i="19"/>
  <c r="O28" i="19"/>
  <c r="E34" i="30"/>
  <c r="E36" i="28"/>
  <c r="E35" i="25"/>
  <c r="E34" i="31"/>
  <c r="I28" i="19"/>
  <c r="E27" i="19"/>
  <c r="F27" i="19" s="1"/>
  <c r="L20" i="11"/>
  <c r="F28" i="28"/>
  <c r="I15" i="11"/>
  <c r="L25" i="19"/>
  <c r="G33" i="28"/>
  <c r="G17" i="19"/>
  <c r="D16" i="19"/>
  <c r="I24" i="28"/>
  <c r="W11" i="19"/>
  <c r="Z11" i="19"/>
  <c r="AC11" i="19"/>
  <c r="AD11" i="19" s="1"/>
  <c r="C18" i="1"/>
  <c r="C16" i="1"/>
  <c r="C12" i="1"/>
  <c r="H37" i="37" l="1"/>
  <c r="I37" i="37"/>
  <c r="H38" i="36"/>
  <c r="O29" i="11"/>
  <c r="C29" i="11"/>
  <c r="J37" i="37"/>
  <c r="J38" i="36"/>
  <c r="C20" i="1"/>
  <c r="I38" i="36"/>
  <c r="J29" i="11"/>
  <c r="P15" i="11"/>
  <c r="N22" i="31"/>
  <c r="K15" i="11"/>
  <c r="J24" i="28" s="1"/>
  <c r="K24" i="37"/>
  <c r="M33" i="28" s="1"/>
  <c r="P17" i="19"/>
  <c r="O24" i="31"/>
  <c r="P24" i="37"/>
  <c r="Q24" i="37" s="1"/>
  <c r="Q31" i="31"/>
  <c r="G25" i="11"/>
  <c r="G26" i="11" s="1"/>
  <c r="K24" i="36"/>
  <c r="P24" i="36"/>
  <c r="Q24" i="36" s="1"/>
  <c r="P31" i="31"/>
  <c r="K17" i="19"/>
  <c r="K26" i="28" s="1"/>
  <c r="K23" i="30"/>
  <c r="U21" i="36"/>
  <c r="I29" i="19"/>
  <c r="C29" i="19"/>
  <c r="H29" i="19"/>
  <c r="O29" i="19"/>
  <c r="Q16" i="19"/>
  <c r="Q14" i="11"/>
  <c r="Q15" i="11" s="1"/>
  <c r="F36" i="37"/>
  <c r="E37" i="36"/>
  <c r="F37" i="36" s="1"/>
  <c r="M34" i="31"/>
  <c r="S17" i="37"/>
  <c r="T17" i="37" s="1"/>
  <c r="U17" i="37" s="1"/>
  <c r="W17" i="37"/>
  <c r="X18" i="37" s="1"/>
  <c r="Y18" i="37" s="1"/>
  <c r="Z18" i="37" s="1"/>
  <c r="G25" i="37"/>
  <c r="J27" i="30"/>
  <c r="J28" i="31"/>
  <c r="S22" i="36"/>
  <c r="T22" i="36" s="1"/>
  <c r="R22" i="36" s="1"/>
  <c r="AD21" i="36"/>
  <c r="AC22" i="36"/>
  <c r="AB20" i="36"/>
  <c r="AA21" i="36"/>
  <c r="G25" i="36"/>
  <c r="W23" i="36"/>
  <c r="AC17" i="37"/>
  <c r="A38" i="37"/>
  <c r="C38" i="37" s="1"/>
  <c r="M37" i="37"/>
  <c r="N37" i="37" s="1"/>
  <c r="B37" i="37"/>
  <c r="V37" i="37"/>
  <c r="O37" i="37"/>
  <c r="AE37" i="37"/>
  <c r="AF37" i="37" s="1"/>
  <c r="L37" i="37"/>
  <c r="E37" i="37"/>
  <c r="D37" i="37"/>
  <c r="V38" i="36"/>
  <c r="A39" i="36"/>
  <c r="C39" i="36" s="1"/>
  <c r="M38" i="36"/>
  <c r="N38" i="36" s="1"/>
  <c r="D38" i="36"/>
  <c r="AE38" i="36"/>
  <c r="O38" i="36"/>
  <c r="L38" i="36"/>
  <c r="B38" i="36"/>
  <c r="E38" i="36" s="1"/>
  <c r="F38" i="36" s="1"/>
  <c r="AF38" i="36"/>
  <c r="C35" i="30"/>
  <c r="H27" i="33"/>
  <c r="C36" i="25"/>
  <c r="C37" i="28"/>
  <c r="C35" i="31"/>
  <c r="E28" i="11"/>
  <c r="A30" i="11"/>
  <c r="C30" i="11" s="1"/>
  <c r="B29" i="11"/>
  <c r="M29" i="11"/>
  <c r="N29" i="11" s="1"/>
  <c r="AE29" i="11"/>
  <c r="AF29" i="11" s="1"/>
  <c r="F37" i="25" s="1"/>
  <c r="H29" i="11"/>
  <c r="V29" i="11"/>
  <c r="D36" i="25"/>
  <c r="D35" i="30"/>
  <c r="D37" i="28"/>
  <c r="D35" i="31"/>
  <c r="I27" i="33"/>
  <c r="J27" i="33"/>
  <c r="G27" i="11"/>
  <c r="L34" i="31"/>
  <c r="F28" i="19"/>
  <c r="E35" i="31"/>
  <c r="E35" i="30"/>
  <c r="E36" i="25"/>
  <c r="E37" i="28"/>
  <c r="A30" i="19"/>
  <c r="J30" i="19" s="1"/>
  <c r="B29" i="19"/>
  <c r="M29" i="19"/>
  <c r="N29" i="19" s="1"/>
  <c r="AE29" i="19"/>
  <c r="AF29" i="19" s="1"/>
  <c r="G37" i="25" s="1"/>
  <c r="E29" i="19"/>
  <c r="O30" i="19"/>
  <c r="V29" i="19"/>
  <c r="I16" i="11"/>
  <c r="L26" i="19"/>
  <c r="G34" i="28"/>
  <c r="G18" i="19"/>
  <c r="L21" i="11"/>
  <c r="F29" i="28"/>
  <c r="D17" i="19"/>
  <c r="I25" i="28"/>
  <c r="G18" i="30"/>
  <c r="X12" i="19"/>
  <c r="Y12" i="19" s="1"/>
  <c r="Z12" i="19" s="1"/>
  <c r="G18" i="31"/>
  <c r="L10" i="33"/>
  <c r="G12" i="1"/>
  <c r="G18" i="1"/>
  <c r="E18" i="1"/>
  <c r="E16" i="1"/>
  <c r="E10" i="1"/>
  <c r="J39" i="36" l="1"/>
  <c r="H39" i="36"/>
  <c r="G20" i="1"/>
  <c r="J30" i="11"/>
  <c r="J38" i="37"/>
  <c r="I38" i="37"/>
  <c r="I39" i="36"/>
  <c r="H38" i="37"/>
  <c r="K25" i="37"/>
  <c r="M34" i="28" s="1"/>
  <c r="K25" i="36"/>
  <c r="K18" i="19"/>
  <c r="K27" i="28" s="1"/>
  <c r="K16" i="11"/>
  <c r="J25" i="28" s="1"/>
  <c r="L33" i="28"/>
  <c r="P25" i="36"/>
  <c r="Q25" i="36" s="1"/>
  <c r="P32" i="31"/>
  <c r="P18" i="19"/>
  <c r="O25" i="31"/>
  <c r="P16" i="11"/>
  <c r="Q16" i="11" s="1"/>
  <c r="N23" i="31"/>
  <c r="G26" i="37"/>
  <c r="P25" i="37"/>
  <c r="Q25" i="37" s="1"/>
  <c r="Q32" i="31"/>
  <c r="U22" i="36"/>
  <c r="R17" i="37"/>
  <c r="Q17" i="19"/>
  <c r="C30" i="19"/>
  <c r="H30" i="19"/>
  <c r="F37" i="37"/>
  <c r="M35" i="31"/>
  <c r="AA17" i="37"/>
  <c r="AB17" i="37" s="1"/>
  <c r="W18" i="37"/>
  <c r="X19" i="37" s="1"/>
  <c r="Y19" i="37" s="1"/>
  <c r="G26" i="36"/>
  <c r="AD17" i="37"/>
  <c r="AC18" i="37"/>
  <c r="X24" i="36"/>
  <c r="Y24" i="36" s="1"/>
  <c r="Z24" i="36" s="1"/>
  <c r="AA22" i="36"/>
  <c r="AB21" i="36"/>
  <c r="AD22" i="36"/>
  <c r="AC23" i="36"/>
  <c r="J29" i="31"/>
  <c r="S23" i="36"/>
  <c r="T23" i="36" s="1"/>
  <c r="R23" i="36" s="1"/>
  <c r="J28" i="30"/>
  <c r="V38" i="37"/>
  <c r="AE38" i="37"/>
  <c r="AF38" i="37" s="1"/>
  <c r="O38" i="37"/>
  <c r="E38" i="37"/>
  <c r="M38" i="37"/>
  <c r="N38" i="37" s="1"/>
  <c r="B38" i="37"/>
  <c r="A39" i="37"/>
  <c r="C39" i="37" s="1"/>
  <c r="L38" i="37"/>
  <c r="D38" i="37"/>
  <c r="AE39" i="36"/>
  <c r="AF39" i="36" s="1"/>
  <c r="O39" i="36"/>
  <c r="B39" i="36"/>
  <c r="V39" i="36"/>
  <c r="A40" i="36"/>
  <c r="C40" i="36" s="1"/>
  <c r="M39" i="36"/>
  <c r="N39" i="36" s="1"/>
  <c r="L39" i="36"/>
  <c r="D39" i="36"/>
  <c r="A31" i="11"/>
  <c r="C31" i="11" s="1"/>
  <c r="M30" i="11"/>
  <c r="N30" i="11" s="1"/>
  <c r="B30" i="11"/>
  <c r="AE30" i="11"/>
  <c r="AF30" i="11" s="1"/>
  <c r="F38" i="25" s="1"/>
  <c r="H30" i="11"/>
  <c r="H31" i="11" s="1"/>
  <c r="V30" i="11"/>
  <c r="C36" i="31"/>
  <c r="C37" i="25"/>
  <c r="C38" i="28"/>
  <c r="H28" i="33"/>
  <c r="C36" i="30"/>
  <c r="E29" i="11"/>
  <c r="O30" i="11"/>
  <c r="O31" i="11" s="1"/>
  <c r="D38" i="28"/>
  <c r="D36" i="30"/>
  <c r="D37" i="25"/>
  <c r="D36" i="31"/>
  <c r="I28" i="33"/>
  <c r="J28" i="33"/>
  <c r="L35" i="31"/>
  <c r="G28" i="11"/>
  <c r="A31" i="19"/>
  <c r="C31" i="19" s="1"/>
  <c r="B30" i="19"/>
  <c r="M30" i="19"/>
  <c r="N30" i="19" s="1"/>
  <c r="AE30" i="19"/>
  <c r="AF30" i="19" s="1"/>
  <c r="G38" i="25" s="1"/>
  <c r="E30" i="19"/>
  <c r="I30" i="19"/>
  <c r="V30" i="19"/>
  <c r="E38" i="28"/>
  <c r="E37" i="25"/>
  <c r="E36" i="30"/>
  <c r="E36" i="31"/>
  <c r="F29" i="19"/>
  <c r="L22" i="11"/>
  <c r="F30" i="28"/>
  <c r="L27" i="19"/>
  <c r="G35" i="28"/>
  <c r="G19" i="19"/>
  <c r="I17" i="11"/>
  <c r="D18" i="19"/>
  <c r="I26" i="28"/>
  <c r="W12" i="19"/>
  <c r="X13" i="19" s="1"/>
  <c r="Y13" i="19" s="1"/>
  <c r="Z13" i="19" s="1"/>
  <c r="AC12" i="19"/>
  <c r="AD12" i="19" s="1"/>
  <c r="E20" i="1"/>
  <c r="V31" i="11" l="1"/>
  <c r="I40" i="36"/>
  <c r="I39" i="37"/>
  <c r="H40" i="36"/>
  <c r="J39" i="37"/>
  <c r="J40" i="36"/>
  <c r="H39" i="37"/>
  <c r="J31" i="11"/>
  <c r="J31" i="19"/>
  <c r="P26" i="36"/>
  <c r="P33" i="31"/>
  <c r="L34" i="28"/>
  <c r="K26" i="36"/>
  <c r="P26" i="37"/>
  <c r="Q26" i="37" s="1"/>
  <c r="Q33" i="31"/>
  <c r="G27" i="37"/>
  <c r="K26" i="37"/>
  <c r="M35" i="28" s="1"/>
  <c r="K17" i="11"/>
  <c r="J26" i="28" s="1"/>
  <c r="N24" i="31"/>
  <c r="P17" i="11"/>
  <c r="Q17" i="11" s="1"/>
  <c r="P19" i="19"/>
  <c r="O26" i="31"/>
  <c r="Q18" i="19"/>
  <c r="K19" i="19"/>
  <c r="K28" i="28" s="1"/>
  <c r="K24" i="30"/>
  <c r="U23" i="36"/>
  <c r="V31" i="19"/>
  <c r="H31" i="19"/>
  <c r="I31" i="19"/>
  <c r="F38" i="37"/>
  <c r="G28" i="37"/>
  <c r="E39" i="36"/>
  <c r="F39" i="36" s="1"/>
  <c r="K24" i="31"/>
  <c r="S18" i="37"/>
  <c r="T18" i="37" s="1"/>
  <c r="W24" i="36"/>
  <c r="X25" i="36" s="1"/>
  <c r="Y25" i="36" s="1"/>
  <c r="Z25" i="36" s="1"/>
  <c r="Z19" i="37"/>
  <c r="W19" i="37"/>
  <c r="X20" i="37" s="1"/>
  <c r="Y20" i="37" s="1"/>
  <c r="AB22" i="36"/>
  <c r="AA23" i="36"/>
  <c r="J29" i="30"/>
  <c r="AD23" i="36"/>
  <c r="AC24" i="36"/>
  <c r="AD18" i="37"/>
  <c r="AC19" i="37"/>
  <c r="AD19" i="37" s="1"/>
  <c r="J30" i="31"/>
  <c r="S24" i="36"/>
  <c r="T24" i="36" s="1"/>
  <c r="R24" i="36" s="1"/>
  <c r="G27" i="36"/>
  <c r="Q26" i="36"/>
  <c r="AE39" i="37"/>
  <c r="AF39" i="37" s="1"/>
  <c r="O39" i="37"/>
  <c r="B39" i="37"/>
  <c r="E39" i="37"/>
  <c r="M39" i="37"/>
  <c r="N39" i="37" s="1"/>
  <c r="A40" i="37"/>
  <c r="C40" i="37" s="1"/>
  <c r="V39" i="37"/>
  <c r="L39" i="37"/>
  <c r="L40" i="36"/>
  <c r="AE40" i="36"/>
  <c r="AF40" i="36" s="1"/>
  <c r="O40" i="36"/>
  <c r="B40" i="36"/>
  <c r="E40" i="36" s="1"/>
  <c r="V40" i="36"/>
  <c r="A41" i="36"/>
  <c r="C41" i="36" s="1"/>
  <c r="M40" i="36"/>
  <c r="N40" i="36" s="1"/>
  <c r="D40" i="36"/>
  <c r="C37" i="31"/>
  <c r="C38" i="25"/>
  <c r="H29" i="33"/>
  <c r="C39" i="28"/>
  <c r="C37" i="30"/>
  <c r="E30" i="11"/>
  <c r="A32" i="11"/>
  <c r="B31" i="11"/>
  <c r="M31" i="11"/>
  <c r="N31" i="11" s="1"/>
  <c r="AE31" i="11"/>
  <c r="AF31" i="11" s="1"/>
  <c r="F39" i="25" s="1"/>
  <c r="D37" i="31"/>
  <c r="D39" i="28"/>
  <c r="D38" i="25"/>
  <c r="D37" i="30"/>
  <c r="I29" i="33"/>
  <c r="J29" i="33"/>
  <c r="G29" i="11"/>
  <c r="L36" i="31"/>
  <c r="E37" i="30"/>
  <c r="E39" i="28"/>
  <c r="E38" i="25"/>
  <c r="E37" i="31"/>
  <c r="M36" i="31"/>
  <c r="A32" i="19"/>
  <c r="C32" i="19" s="1"/>
  <c r="M31" i="19"/>
  <c r="N31" i="19" s="1"/>
  <c r="B31" i="19"/>
  <c r="AE31" i="19"/>
  <c r="AF31" i="19" s="1"/>
  <c r="G39" i="25" s="1"/>
  <c r="E31" i="19"/>
  <c r="F30" i="19"/>
  <c r="O31" i="19"/>
  <c r="L28" i="19"/>
  <c r="G36" i="28"/>
  <c r="L23" i="11"/>
  <c r="F31" i="28"/>
  <c r="I18" i="11"/>
  <c r="G20" i="19"/>
  <c r="D19" i="19"/>
  <c r="I27" i="28"/>
  <c r="W13" i="19"/>
  <c r="X14" i="19" s="1"/>
  <c r="Y14" i="19" s="1"/>
  <c r="Z14" i="19" s="1"/>
  <c r="G19" i="31"/>
  <c r="G19" i="30"/>
  <c r="AC13" i="19"/>
  <c r="AD13" i="19" s="1"/>
  <c r="L11" i="33"/>
  <c r="O32" i="19" l="1"/>
  <c r="J32" i="19"/>
  <c r="J40" i="37"/>
  <c r="J32" i="11"/>
  <c r="H41" i="36"/>
  <c r="H32" i="11"/>
  <c r="C32" i="11"/>
  <c r="H40" i="37"/>
  <c r="I40" i="37"/>
  <c r="J41" i="36"/>
  <c r="I41" i="36"/>
  <c r="P27" i="36"/>
  <c r="Q27" i="36" s="1"/>
  <c r="P34" i="31"/>
  <c r="K27" i="36"/>
  <c r="L36" i="28" s="1"/>
  <c r="F40" i="36"/>
  <c r="L35" i="28"/>
  <c r="R18" i="37"/>
  <c r="U18" i="37"/>
  <c r="K25" i="30" s="1"/>
  <c r="P28" i="37"/>
  <c r="Q35" i="31"/>
  <c r="P27" i="37"/>
  <c r="Q27" i="37" s="1"/>
  <c r="Q34" i="31"/>
  <c r="K27" i="37"/>
  <c r="K28" i="37" s="1"/>
  <c r="Q19" i="19"/>
  <c r="P20" i="19"/>
  <c r="O27" i="31"/>
  <c r="P18" i="11"/>
  <c r="Q18" i="11" s="1"/>
  <c r="N25" i="31"/>
  <c r="K20" i="19"/>
  <c r="K29" i="28" s="1"/>
  <c r="K18" i="11"/>
  <c r="J27" i="28" s="1"/>
  <c r="U24" i="36"/>
  <c r="J31" i="30" s="1"/>
  <c r="I32" i="19"/>
  <c r="H32" i="19"/>
  <c r="D39" i="37"/>
  <c r="D40" i="37" s="1"/>
  <c r="G29" i="37"/>
  <c r="F39" i="37"/>
  <c r="M37" i="31"/>
  <c r="AA18" i="37"/>
  <c r="AC20" i="37"/>
  <c r="AD20" i="37" s="1"/>
  <c r="W25" i="36"/>
  <c r="X26" i="36" s="1"/>
  <c r="Y26" i="36" s="1"/>
  <c r="Z26" i="36" s="1"/>
  <c r="J31" i="31"/>
  <c r="S25" i="36"/>
  <c r="T25" i="36" s="1"/>
  <c r="R25" i="36" s="1"/>
  <c r="AD24" i="36"/>
  <c r="AC25" i="36"/>
  <c r="AD25" i="36" s="1"/>
  <c r="AB23" i="36"/>
  <c r="AA24" i="36"/>
  <c r="Z20" i="37"/>
  <c r="J30" i="30"/>
  <c r="G28" i="36"/>
  <c r="W20" i="37"/>
  <c r="L40" i="37"/>
  <c r="E40" i="37"/>
  <c r="A41" i="37"/>
  <c r="C41" i="37" s="1"/>
  <c r="V40" i="37"/>
  <c r="AE40" i="37"/>
  <c r="AF40" i="37" s="1"/>
  <c r="O40" i="37"/>
  <c r="B40" i="37"/>
  <c r="M40" i="37"/>
  <c r="N40" i="37" s="1"/>
  <c r="A42" i="36"/>
  <c r="C42" i="36" s="1"/>
  <c r="M41" i="36"/>
  <c r="N41" i="36" s="1"/>
  <c r="L41" i="36"/>
  <c r="D41" i="36"/>
  <c r="AE41" i="36"/>
  <c r="AF41" i="36" s="1"/>
  <c r="O41" i="36"/>
  <c r="B41" i="36"/>
  <c r="E41" i="36" s="1"/>
  <c r="F41" i="36" s="1"/>
  <c r="V41" i="36"/>
  <c r="C40" i="28"/>
  <c r="C39" i="25"/>
  <c r="C38" i="30"/>
  <c r="C38" i="31"/>
  <c r="H30" i="33"/>
  <c r="E31" i="11"/>
  <c r="A33" i="11"/>
  <c r="C33" i="11" s="1"/>
  <c r="B32" i="11"/>
  <c r="M32" i="11"/>
  <c r="N32" i="11" s="1"/>
  <c r="AE32" i="11"/>
  <c r="AF32" i="11" s="1"/>
  <c r="F40" i="25" s="1"/>
  <c r="O32" i="11"/>
  <c r="V32" i="11"/>
  <c r="F31" i="19"/>
  <c r="D38" i="30"/>
  <c r="D38" i="31"/>
  <c r="D40" i="28"/>
  <c r="D39" i="25"/>
  <c r="I30" i="33"/>
  <c r="J30" i="33"/>
  <c r="G30" i="11"/>
  <c r="L37" i="31"/>
  <c r="E38" i="30"/>
  <c r="E38" i="31"/>
  <c r="E39" i="25"/>
  <c r="E40" i="28"/>
  <c r="A33" i="19"/>
  <c r="M32" i="19"/>
  <c r="N32" i="19" s="1"/>
  <c r="B32" i="19"/>
  <c r="AE32" i="19"/>
  <c r="AF32" i="19" s="1"/>
  <c r="G40" i="25" s="1"/>
  <c r="E32" i="19"/>
  <c r="V32" i="19"/>
  <c r="G21" i="19"/>
  <c r="L24" i="11"/>
  <c r="F32" i="28"/>
  <c r="I19" i="11"/>
  <c r="L29" i="19"/>
  <c r="G37" i="28"/>
  <c r="G20" i="31"/>
  <c r="D20" i="19"/>
  <c r="I28" i="28"/>
  <c r="W14" i="19"/>
  <c r="X15" i="19" s="1"/>
  <c r="AC14" i="19"/>
  <c r="AD14" i="19" s="1"/>
  <c r="L12" i="33"/>
  <c r="G20" i="30"/>
  <c r="V33" i="19" l="1"/>
  <c r="I41" i="37"/>
  <c r="H42" i="36"/>
  <c r="H41" i="37"/>
  <c r="J33" i="11"/>
  <c r="I42" i="36"/>
  <c r="J41" i="37"/>
  <c r="J42" i="36"/>
  <c r="J33" i="19"/>
  <c r="P28" i="36"/>
  <c r="P35" i="31"/>
  <c r="K28" i="36"/>
  <c r="L37" i="28" s="1"/>
  <c r="Q28" i="37"/>
  <c r="Q20" i="19"/>
  <c r="M36" i="28"/>
  <c r="P29" i="37"/>
  <c r="Q36" i="31"/>
  <c r="K29" i="37"/>
  <c r="P21" i="19"/>
  <c r="O28" i="31"/>
  <c r="K19" i="11"/>
  <c r="J28" i="28" s="1"/>
  <c r="P19" i="11"/>
  <c r="Q19" i="11" s="1"/>
  <c r="N26" i="31"/>
  <c r="K21" i="19"/>
  <c r="K30" i="28" s="1"/>
  <c r="U25" i="36"/>
  <c r="O33" i="19"/>
  <c r="C33" i="19"/>
  <c r="H33" i="19"/>
  <c r="I33" i="19"/>
  <c r="M37" i="28"/>
  <c r="F40" i="37"/>
  <c r="G30" i="37"/>
  <c r="AB18" i="37"/>
  <c r="K25" i="31"/>
  <c r="S19" i="37"/>
  <c r="T19" i="37" s="1"/>
  <c r="U19" i="37" s="1"/>
  <c r="AC26" i="36"/>
  <c r="AD26" i="36" s="1"/>
  <c r="G29" i="36"/>
  <c r="Q28" i="36"/>
  <c r="J32" i="31"/>
  <c r="S26" i="36"/>
  <c r="T26" i="36" s="1"/>
  <c r="R26" i="36" s="1"/>
  <c r="X21" i="37"/>
  <c r="Y21" i="37" s="1"/>
  <c r="AC21" i="37" s="1"/>
  <c r="AD21" i="37" s="1"/>
  <c r="AA25" i="36"/>
  <c r="AB24" i="36"/>
  <c r="W26" i="36"/>
  <c r="A42" i="37"/>
  <c r="C42" i="37" s="1"/>
  <c r="M41" i="37"/>
  <c r="N41" i="37" s="1"/>
  <c r="D41" i="37"/>
  <c r="L41" i="37"/>
  <c r="V41" i="37"/>
  <c r="E41" i="37"/>
  <c r="O41" i="37"/>
  <c r="B41" i="37"/>
  <c r="AE41" i="37"/>
  <c r="AF41" i="37" s="1"/>
  <c r="V42" i="36"/>
  <c r="N42" i="36"/>
  <c r="A43" i="36"/>
  <c r="C43" i="36" s="1"/>
  <c r="M42" i="36"/>
  <c r="L42" i="36"/>
  <c r="D42" i="36"/>
  <c r="B42" i="36"/>
  <c r="E42" i="36" s="1"/>
  <c r="F42" i="36" s="1"/>
  <c r="AE42" i="36"/>
  <c r="AF42" i="36" s="1"/>
  <c r="O42" i="36"/>
  <c r="V33" i="11"/>
  <c r="O33" i="11"/>
  <c r="O34" i="11" s="1"/>
  <c r="A34" i="11"/>
  <c r="C34" i="11" s="1"/>
  <c r="B33" i="11"/>
  <c r="M33" i="11"/>
  <c r="N33" i="11" s="1"/>
  <c r="AE33" i="11"/>
  <c r="AF33" i="11" s="1"/>
  <c r="F41" i="25" s="1"/>
  <c r="C41" i="28"/>
  <c r="C39" i="31"/>
  <c r="C40" i="25"/>
  <c r="H31" i="33"/>
  <c r="C39" i="30"/>
  <c r="E32" i="11"/>
  <c r="H33" i="11"/>
  <c r="H34" i="11" s="1"/>
  <c r="D40" i="25"/>
  <c r="D39" i="30"/>
  <c r="D39" i="31"/>
  <c r="D41" i="28"/>
  <c r="I31" i="33"/>
  <c r="J31" i="33"/>
  <c r="L38" i="31"/>
  <c r="G31" i="11"/>
  <c r="E41" i="28"/>
  <c r="E39" i="30"/>
  <c r="E40" i="25"/>
  <c r="E39" i="31"/>
  <c r="A34" i="19"/>
  <c r="C34" i="19" s="1"/>
  <c r="B33" i="19"/>
  <c r="M33" i="19"/>
  <c r="N33" i="19" s="1"/>
  <c r="AE33" i="19"/>
  <c r="AF33" i="19" s="1"/>
  <c r="G41" i="25" s="1"/>
  <c r="E33" i="19"/>
  <c r="M38" i="31"/>
  <c r="F32" i="19"/>
  <c r="L30" i="19"/>
  <c r="G38" i="28"/>
  <c r="G22" i="19"/>
  <c r="I20" i="11"/>
  <c r="L25" i="11"/>
  <c r="F33" i="28"/>
  <c r="G21" i="31"/>
  <c r="D21" i="19"/>
  <c r="I29" i="28"/>
  <c r="L13" i="33"/>
  <c r="G21" i="30"/>
  <c r="Y15" i="19"/>
  <c r="D7" i="11"/>
  <c r="V34" i="19" l="1"/>
  <c r="J34" i="19"/>
  <c r="J34" i="11"/>
  <c r="J43" i="36"/>
  <c r="H42" i="37"/>
  <c r="J42" i="37"/>
  <c r="H43" i="36"/>
  <c r="I43" i="36"/>
  <c r="I42" i="37"/>
  <c r="Q29" i="37"/>
  <c r="K29" i="36"/>
  <c r="L38" i="28" s="1"/>
  <c r="P29" i="36"/>
  <c r="Q29" i="36" s="1"/>
  <c r="P36" i="31"/>
  <c r="J32" i="30"/>
  <c r="U26" i="36"/>
  <c r="F41" i="37"/>
  <c r="Q21" i="19"/>
  <c r="K30" i="37"/>
  <c r="P30" i="37"/>
  <c r="Q30" i="37" s="1"/>
  <c r="Q37" i="31"/>
  <c r="N27" i="31"/>
  <c r="P20" i="11"/>
  <c r="Q20" i="11" s="1"/>
  <c r="P22" i="19"/>
  <c r="O29" i="31"/>
  <c r="K20" i="11"/>
  <c r="J29" i="28" s="1"/>
  <c r="K22" i="19"/>
  <c r="K31" i="28" s="1"/>
  <c r="K26" i="30"/>
  <c r="R19" i="37"/>
  <c r="H34" i="19"/>
  <c r="M38" i="28"/>
  <c r="G31" i="37"/>
  <c r="AA19" i="37"/>
  <c r="X27" i="36"/>
  <c r="Y27" i="36" s="1"/>
  <c r="W27" i="36" s="1"/>
  <c r="X28" i="36" s="1"/>
  <c r="Y28" i="36" s="1"/>
  <c r="W28" i="36" s="1"/>
  <c r="X29" i="36" s="1"/>
  <c r="Y29" i="36" s="1"/>
  <c r="W29" i="36" s="1"/>
  <c r="X30" i="36" s="1"/>
  <c r="Y30" i="36" s="1"/>
  <c r="W30" i="36" s="1"/>
  <c r="AB25" i="36"/>
  <c r="AA26" i="36"/>
  <c r="W21" i="37"/>
  <c r="J33" i="31"/>
  <c r="S27" i="36"/>
  <c r="T27" i="36" s="1"/>
  <c r="R27" i="36" s="1"/>
  <c r="Z21" i="37"/>
  <c r="G30" i="36"/>
  <c r="V42" i="37"/>
  <c r="M42" i="37"/>
  <c r="N42" i="37" s="1"/>
  <c r="B42" i="37"/>
  <c r="A43" i="37"/>
  <c r="C43" i="37" s="1"/>
  <c r="L42" i="37"/>
  <c r="D42" i="37"/>
  <c r="O42" i="37"/>
  <c r="E42" i="37"/>
  <c r="AE42" i="37"/>
  <c r="AF42" i="37" s="1"/>
  <c r="AE43" i="36"/>
  <c r="O43" i="36"/>
  <c r="B43" i="36"/>
  <c r="V43" i="36"/>
  <c r="A44" i="36"/>
  <c r="C44" i="36" s="1"/>
  <c r="M43" i="36"/>
  <c r="N43" i="36" s="1"/>
  <c r="D43" i="36"/>
  <c r="AF43" i="36"/>
  <c r="L43" i="36"/>
  <c r="C40" i="31"/>
  <c r="C42" i="28"/>
  <c r="C41" i="25"/>
  <c r="C40" i="30"/>
  <c r="H32" i="33"/>
  <c r="E33" i="11"/>
  <c r="A35" i="11"/>
  <c r="C35" i="11" s="1"/>
  <c r="B34" i="11"/>
  <c r="M34" i="11"/>
  <c r="N34" i="11" s="1"/>
  <c r="AE34" i="11"/>
  <c r="AF34" i="11" s="1"/>
  <c r="F42" i="25" s="1"/>
  <c r="V34" i="11"/>
  <c r="D42" i="28"/>
  <c r="D41" i="25"/>
  <c r="D40" i="30"/>
  <c r="D40" i="31"/>
  <c r="F33" i="19"/>
  <c r="I32" i="33"/>
  <c r="J32" i="33"/>
  <c r="G32" i="11"/>
  <c r="L39" i="31"/>
  <c r="A35" i="19"/>
  <c r="C35" i="19" s="1"/>
  <c r="B34" i="19"/>
  <c r="M34" i="19"/>
  <c r="N34" i="19" s="1"/>
  <c r="AE34" i="19"/>
  <c r="AF34" i="19" s="1"/>
  <c r="G42" i="25" s="1"/>
  <c r="E34" i="19"/>
  <c r="I34" i="19"/>
  <c r="M39" i="31"/>
  <c r="E42" i="28"/>
  <c r="E41" i="25"/>
  <c r="E40" i="31"/>
  <c r="E40" i="30"/>
  <c r="O34" i="19"/>
  <c r="O35" i="19" s="1"/>
  <c r="L31" i="19"/>
  <c r="G39" i="28"/>
  <c r="I21" i="11"/>
  <c r="L26" i="11"/>
  <c r="F34" i="28"/>
  <c r="G23" i="19"/>
  <c r="W15" i="19"/>
  <c r="X16" i="19" s="1"/>
  <c r="Z15" i="19"/>
  <c r="D22" i="19"/>
  <c r="I30" i="28"/>
  <c r="AC15" i="19"/>
  <c r="AD15" i="19" s="1"/>
  <c r="H15" i="28"/>
  <c r="D8" i="11"/>
  <c r="D9" i="11" s="1"/>
  <c r="D10" i="11" s="1"/>
  <c r="D11" i="11" s="1"/>
  <c r="D12" i="11" s="1"/>
  <c r="D13" i="11" s="1"/>
  <c r="D14" i="11" s="1"/>
  <c r="D15" i="11" s="1"/>
  <c r="D16" i="11" s="1"/>
  <c r="D17" i="11" s="1"/>
  <c r="D18" i="11" s="1"/>
  <c r="D19" i="11" s="1"/>
  <c r="D20" i="11" s="1"/>
  <c r="D21" i="11" s="1"/>
  <c r="D22" i="11" s="1"/>
  <c r="D23" i="11" s="1"/>
  <c r="D24" i="11" s="1"/>
  <c r="D25" i="11" s="1"/>
  <c r="D26" i="11" s="1"/>
  <c r="D27" i="11" s="1"/>
  <c r="D28" i="11" s="1"/>
  <c r="D29" i="11" s="1"/>
  <c r="D30" i="11" s="1"/>
  <c r="D31" i="11" s="1"/>
  <c r="D32" i="11" s="1"/>
  <c r="D33" i="11" s="1"/>
  <c r="D34" i="11" s="1"/>
  <c r="F6" i="11"/>
  <c r="F7" i="11" s="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V35" i="19" l="1"/>
  <c r="I35" i="19"/>
  <c r="I44" i="36"/>
  <c r="J44" i="36"/>
  <c r="H44" i="36"/>
  <c r="J35" i="11"/>
  <c r="J43" i="37"/>
  <c r="J35" i="19"/>
  <c r="I43" i="37"/>
  <c r="H43" i="37"/>
  <c r="Q22" i="19"/>
  <c r="F33" i="11"/>
  <c r="U27" i="36"/>
  <c r="J34" i="30" s="1"/>
  <c r="G31" i="36"/>
  <c r="P30" i="36"/>
  <c r="Q30" i="36" s="1"/>
  <c r="P37" i="31"/>
  <c r="J33" i="30"/>
  <c r="K30" i="36"/>
  <c r="K31" i="36" s="1"/>
  <c r="P31" i="37"/>
  <c r="Q38" i="31"/>
  <c r="K31" i="37"/>
  <c r="P23" i="19"/>
  <c r="O30" i="31"/>
  <c r="K23" i="19"/>
  <c r="K32" i="28" s="1"/>
  <c r="N28" i="31"/>
  <c r="P21" i="11"/>
  <c r="Q21" i="11" s="1"/>
  <c r="K21" i="11"/>
  <c r="J30" i="28" s="1"/>
  <c r="H35" i="19"/>
  <c r="F42" i="37"/>
  <c r="G32" i="37"/>
  <c r="Q31" i="37"/>
  <c r="M39" i="28"/>
  <c r="X31" i="36"/>
  <c r="Y31" i="36" s="1"/>
  <c r="W31" i="36" s="1"/>
  <c r="E43" i="36"/>
  <c r="F43" i="36" s="1"/>
  <c r="G32" i="36"/>
  <c r="K26" i="31"/>
  <c r="S20" i="37"/>
  <c r="T20" i="37" s="1"/>
  <c r="U20" i="37" s="1"/>
  <c r="AB19" i="37"/>
  <c r="S28" i="36"/>
  <c r="T28" i="36" s="1"/>
  <c r="R28" i="36" s="1"/>
  <c r="J34" i="31"/>
  <c r="AB26" i="36"/>
  <c r="AA27" i="36"/>
  <c r="AB27" i="36" s="1"/>
  <c r="X22" i="37"/>
  <c r="Y22" i="37" s="1"/>
  <c r="AC22" i="37" s="1"/>
  <c r="AC27" i="36"/>
  <c r="Z27" i="36"/>
  <c r="Z28" i="36" s="1"/>
  <c r="Z29" i="36" s="1"/>
  <c r="Z30" i="36" s="1"/>
  <c r="Z31" i="36" s="1"/>
  <c r="AE43" i="37"/>
  <c r="AF43" i="37" s="1"/>
  <c r="O43" i="37"/>
  <c r="B43" i="37"/>
  <c r="M43" i="37"/>
  <c r="N43" i="37" s="1"/>
  <c r="E43" i="37"/>
  <c r="D43" i="37"/>
  <c r="L43" i="37"/>
  <c r="V43" i="37"/>
  <c r="A44" i="37"/>
  <c r="C44" i="37" s="1"/>
  <c r="L44" i="36"/>
  <c r="D44" i="36"/>
  <c r="AE44" i="36"/>
  <c r="AF44" i="36" s="1"/>
  <c r="O44" i="36"/>
  <c r="B44" i="36"/>
  <c r="E44" i="36" s="1"/>
  <c r="F44" i="36" s="1"/>
  <c r="V44" i="36"/>
  <c r="A45" i="36"/>
  <c r="C45" i="36" s="1"/>
  <c r="M44" i="36"/>
  <c r="N44" i="36" s="1"/>
  <c r="A36" i="11"/>
  <c r="C36" i="11" s="1"/>
  <c r="B35" i="11"/>
  <c r="M35" i="11"/>
  <c r="AE35" i="11"/>
  <c r="AF35" i="11" s="1"/>
  <c r="F43" i="25" s="1"/>
  <c r="D35" i="11"/>
  <c r="N35" i="11"/>
  <c r="V35" i="11"/>
  <c r="H35" i="11"/>
  <c r="O35" i="11"/>
  <c r="O36" i="11" s="1"/>
  <c r="C43" i="28"/>
  <c r="H33" i="33"/>
  <c r="C41" i="31"/>
  <c r="C42" i="25"/>
  <c r="C41" i="30"/>
  <c r="E34" i="11"/>
  <c r="F34" i="19"/>
  <c r="D41" i="31"/>
  <c r="D43" i="28"/>
  <c r="D41" i="30"/>
  <c r="D42" i="25"/>
  <c r="I33" i="33"/>
  <c r="J33" i="33"/>
  <c r="L40" i="31"/>
  <c r="G33" i="11"/>
  <c r="E42" i="25"/>
  <c r="E41" i="31"/>
  <c r="E43" i="28"/>
  <c r="E41" i="30"/>
  <c r="A36" i="19"/>
  <c r="C36" i="19" s="1"/>
  <c r="M35" i="19"/>
  <c r="N35" i="19" s="1"/>
  <c r="B35" i="19"/>
  <c r="AE35" i="19"/>
  <c r="AF35" i="19" s="1"/>
  <c r="G43" i="25" s="1"/>
  <c r="E35" i="19"/>
  <c r="M40" i="31"/>
  <c r="G22" i="31"/>
  <c r="L27" i="11"/>
  <c r="F35" i="28"/>
  <c r="I22" i="11"/>
  <c r="G24" i="19"/>
  <c r="L32" i="19"/>
  <c r="G40" i="28"/>
  <c r="D23" i="19"/>
  <c r="I31" i="28"/>
  <c r="G22" i="30"/>
  <c r="L14" i="33"/>
  <c r="H16" i="28"/>
  <c r="Y16" i="19"/>
  <c r="Z16" i="19" s="1"/>
  <c r="O36" i="19" l="1"/>
  <c r="H36" i="11"/>
  <c r="I36" i="19"/>
  <c r="V36" i="11"/>
  <c r="H44" i="37"/>
  <c r="J36" i="11"/>
  <c r="I44" i="37"/>
  <c r="H45" i="36"/>
  <c r="J36" i="19"/>
  <c r="J45" i="36"/>
  <c r="J44" i="37"/>
  <c r="I45" i="36"/>
  <c r="F34" i="11"/>
  <c r="Q23" i="19"/>
  <c r="L39" i="28"/>
  <c r="P32" i="36"/>
  <c r="P39" i="31"/>
  <c r="U28" i="36"/>
  <c r="K32" i="36"/>
  <c r="P31" i="36"/>
  <c r="Q31" i="36" s="1"/>
  <c r="Q32" i="36" s="1"/>
  <c r="P38" i="31"/>
  <c r="P32" i="37"/>
  <c r="Q39" i="31"/>
  <c r="K32" i="37"/>
  <c r="P24" i="19"/>
  <c r="O31" i="31"/>
  <c r="K24" i="19"/>
  <c r="K33" i="28" s="1"/>
  <c r="P22" i="11"/>
  <c r="Q22" i="11" s="1"/>
  <c r="N29" i="31"/>
  <c r="K22" i="11"/>
  <c r="J31" i="28" s="1"/>
  <c r="AA20" i="37"/>
  <c r="AB20" i="37" s="1"/>
  <c r="R20" i="37"/>
  <c r="H36" i="19"/>
  <c r="Q32" i="37"/>
  <c r="F43" i="37"/>
  <c r="M40" i="28"/>
  <c r="G33" i="37"/>
  <c r="X32" i="36"/>
  <c r="Y32" i="36" s="1"/>
  <c r="W32" i="36" s="1"/>
  <c r="L40" i="28"/>
  <c r="G33" i="36"/>
  <c r="M41" i="31"/>
  <c r="S29" i="36"/>
  <c r="T29" i="36" s="1"/>
  <c r="R29" i="36" s="1"/>
  <c r="J35" i="31"/>
  <c r="AD27" i="36"/>
  <c r="AC28" i="36"/>
  <c r="W22" i="37"/>
  <c r="X23" i="37" s="1"/>
  <c r="Y23" i="37" s="1"/>
  <c r="W23" i="37" s="1"/>
  <c r="X24" i="37" s="1"/>
  <c r="Y24" i="37" s="1"/>
  <c r="W24" i="37" s="1"/>
  <c r="X25" i="37" s="1"/>
  <c r="Y25" i="37" s="1"/>
  <c r="W25" i="37" s="1"/>
  <c r="Z22" i="37"/>
  <c r="AD22" i="37"/>
  <c r="AA28" i="36"/>
  <c r="L44" i="37"/>
  <c r="E44" i="37"/>
  <c r="AE44" i="37"/>
  <c r="AF44" i="37" s="1"/>
  <c r="O44" i="37"/>
  <c r="D44" i="37"/>
  <c r="B44" i="37"/>
  <c r="V44" i="37"/>
  <c r="A45" i="37"/>
  <c r="C45" i="37" s="1"/>
  <c r="M44" i="37"/>
  <c r="N44" i="37" s="1"/>
  <c r="V45" i="36"/>
  <c r="A46" i="36"/>
  <c r="C46" i="36" s="1"/>
  <c r="M45" i="36"/>
  <c r="N45" i="36" s="1"/>
  <c r="L45" i="36"/>
  <c r="AE45" i="36"/>
  <c r="AF45" i="36" s="1"/>
  <c r="O45" i="36"/>
  <c r="D45" i="36"/>
  <c r="B45" i="36"/>
  <c r="E45" i="36" s="1"/>
  <c r="F45" i="36" s="1"/>
  <c r="C42" i="31"/>
  <c r="C42" i="30"/>
  <c r="C44" i="28"/>
  <c r="H34" i="33"/>
  <c r="C43" i="25"/>
  <c r="E35" i="11"/>
  <c r="F35" i="11" s="1"/>
  <c r="A37" i="11"/>
  <c r="B36" i="11"/>
  <c r="M36" i="11"/>
  <c r="N36" i="11" s="1"/>
  <c r="AE36" i="11"/>
  <c r="AF36" i="11" s="1"/>
  <c r="F44" i="25" s="1"/>
  <c r="D36" i="11"/>
  <c r="H37" i="11"/>
  <c r="D42" i="30"/>
  <c r="D42" i="31"/>
  <c r="D43" i="25"/>
  <c r="D44" i="28"/>
  <c r="I34" i="33"/>
  <c r="J34" i="33"/>
  <c r="G34" i="11"/>
  <c r="L41" i="31"/>
  <c r="E43" i="25"/>
  <c r="E42" i="31"/>
  <c r="E42" i="30"/>
  <c r="E44" i="28"/>
  <c r="A37" i="19"/>
  <c r="C37" i="19" s="1"/>
  <c r="M36" i="19"/>
  <c r="N36" i="19" s="1"/>
  <c r="B36" i="19"/>
  <c r="AE36" i="19"/>
  <c r="AF36" i="19" s="1"/>
  <c r="G44" i="25" s="1"/>
  <c r="E36" i="19"/>
  <c r="V36" i="19"/>
  <c r="V37" i="19" s="1"/>
  <c r="F35" i="19"/>
  <c r="L33" i="19"/>
  <c r="G41" i="28"/>
  <c r="L28" i="11"/>
  <c r="F36" i="28"/>
  <c r="G25" i="19"/>
  <c r="I23" i="11"/>
  <c r="D24" i="19"/>
  <c r="I32" i="28"/>
  <c r="W16" i="19"/>
  <c r="G23" i="30"/>
  <c r="AC16" i="19"/>
  <c r="AD16" i="19" s="1"/>
  <c r="H17" i="28"/>
  <c r="I46" i="36" l="1"/>
  <c r="H46" i="36"/>
  <c r="J45" i="37"/>
  <c r="I45" i="37"/>
  <c r="J46" i="36"/>
  <c r="J37" i="11"/>
  <c r="O37" i="11"/>
  <c r="C37" i="11"/>
  <c r="J37" i="19"/>
  <c r="H45" i="37"/>
  <c r="Z32" i="36"/>
  <c r="Q24" i="19"/>
  <c r="K33" i="36"/>
  <c r="P33" i="36"/>
  <c r="P40" i="31"/>
  <c r="U29" i="36"/>
  <c r="P33" i="37"/>
  <c r="Q33" i="37" s="1"/>
  <c r="Q40" i="31"/>
  <c r="K33" i="37"/>
  <c r="K25" i="19"/>
  <c r="K23" i="11"/>
  <c r="J32" i="28" s="1"/>
  <c r="N30" i="31"/>
  <c r="P23" i="11"/>
  <c r="Q23" i="11" s="1"/>
  <c r="P25" i="19"/>
  <c r="Q25" i="19" s="1"/>
  <c r="O32" i="31"/>
  <c r="O37" i="19"/>
  <c r="H37" i="19"/>
  <c r="X26" i="37"/>
  <c r="Y26" i="37" s="1"/>
  <c r="W26" i="37" s="1"/>
  <c r="G34" i="37"/>
  <c r="M41" i="28"/>
  <c r="F44" i="37"/>
  <c r="X33" i="36"/>
  <c r="Y33" i="36" s="1"/>
  <c r="W33" i="36" s="1"/>
  <c r="G34" i="36"/>
  <c r="Q33" i="36"/>
  <c r="L41" i="28"/>
  <c r="K27" i="30"/>
  <c r="K27" i="31"/>
  <c r="S21" i="37"/>
  <c r="T21" i="37" s="1"/>
  <c r="Z23" i="37"/>
  <c r="Z24" i="37" s="1"/>
  <c r="Z25" i="37" s="1"/>
  <c r="Z26" i="37" s="1"/>
  <c r="AC23" i="37"/>
  <c r="AC24" i="37" s="1"/>
  <c r="AD28" i="36"/>
  <c r="AC29" i="36"/>
  <c r="S30" i="36"/>
  <c r="T30" i="36" s="1"/>
  <c r="R30" i="36" s="1"/>
  <c r="J36" i="31"/>
  <c r="J35" i="30"/>
  <c r="AB28" i="36"/>
  <c r="AA29" i="36"/>
  <c r="V45" i="37"/>
  <c r="M45" i="37"/>
  <c r="N45" i="37" s="1"/>
  <c r="A46" i="37"/>
  <c r="C46" i="37" s="1"/>
  <c r="L45" i="37"/>
  <c r="D45" i="37"/>
  <c r="O45" i="37"/>
  <c r="B45" i="37"/>
  <c r="AE45" i="37"/>
  <c r="AF45" i="37" s="1"/>
  <c r="AE46" i="36"/>
  <c r="AF46" i="36" s="1"/>
  <c r="O46" i="36"/>
  <c r="B46" i="36"/>
  <c r="V46" i="36"/>
  <c r="A47" i="36"/>
  <c r="C47" i="36" s="1"/>
  <c r="M46" i="36"/>
  <c r="N46" i="36" s="1"/>
  <c r="D46" i="36"/>
  <c r="L46" i="36"/>
  <c r="V37" i="11"/>
  <c r="H35" i="33"/>
  <c r="C43" i="30"/>
  <c r="C44" i="25"/>
  <c r="C45" i="28"/>
  <c r="C43" i="31"/>
  <c r="E36" i="11"/>
  <c r="F36" i="11" s="1"/>
  <c r="A38" i="11"/>
  <c r="C38" i="11" s="1"/>
  <c r="B37" i="11"/>
  <c r="M37" i="11"/>
  <c r="N37" i="11" s="1"/>
  <c r="AE37" i="11"/>
  <c r="AF37" i="11" s="1"/>
  <c r="F45" i="25" s="1"/>
  <c r="D37" i="11"/>
  <c r="D44" i="25"/>
  <c r="D43" i="30"/>
  <c r="D45" i="28"/>
  <c r="D43" i="31"/>
  <c r="I35" i="33"/>
  <c r="J35" i="33"/>
  <c r="L42" i="31"/>
  <c r="G35" i="11"/>
  <c r="E45" i="28"/>
  <c r="E44" i="25"/>
  <c r="E43" i="30"/>
  <c r="E43" i="31"/>
  <c r="M42" i="31"/>
  <c r="F36" i="19"/>
  <c r="A38" i="19"/>
  <c r="C38" i="19" s="1"/>
  <c r="M37" i="19"/>
  <c r="N37" i="19" s="1"/>
  <c r="B37" i="19"/>
  <c r="AE37" i="19"/>
  <c r="AF37" i="19" s="1"/>
  <c r="G45" i="25" s="1"/>
  <c r="E37" i="19"/>
  <c r="I37" i="19"/>
  <c r="I38" i="19" s="1"/>
  <c r="L29" i="11"/>
  <c r="F37" i="28"/>
  <c r="I24" i="11"/>
  <c r="G26" i="19"/>
  <c r="L34" i="19"/>
  <c r="G42" i="28"/>
  <c r="D25" i="19"/>
  <c r="I33" i="28"/>
  <c r="X17" i="19"/>
  <c r="Y17" i="19" s="1"/>
  <c r="Z17" i="19" s="1"/>
  <c r="G23" i="31"/>
  <c r="L15" i="33"/>
  <c r="H18" i="28"/>
  <c r="I46" i="37" l="1"/>
  <c r="J46" i="37"/>
  <c r="H46" i="37"/>
  <c r="J38" i="11"/>
  <c r="H47" i="36"/>
  <c r="J38" i="19"/>
  <c r="J47" i="36"/>
  <c r="I47" i="36"/>
  <c r="K34" i="36"/>
  <c r="P34" i="36"/>
  <c r="P41" i="31"/>
  <c r="U30" i="36"/>
  <c r="K34" i="37"/>
  <c r="P34" i="37"/>
  <c r="Q34" i="37" s="1"/>
  <c r="Q41" i="31"/>
  <c r="R21" i="37"/>
  <c r="U21" i="37"/>
  <c r="P26" i="19"/>
  <c r="Q26" i="19" s="1"/>
  <c r="O33" i="31"/>
  <c r="K34" i="28"/>
  <c r="K26" i="19"/>
  <c r="K35" i="28" s="1"/>
  <c r="P24" i="11"/>
  <c r="Q24" i="11" s="1"/>
  <c r="N31" i="31"/>
  <c r="K24" i="11"/>
  <c r="J33" i="28" s="1"/>
  <c r="H38" i="19"/>
  <c r="X27" i="37"/>
  <c r="Y27" i="37" s="1"/>
  <c r="W27" i="37" s="1"/>
  <c r="E45" i="37"/>
  <c r="F45" i="37" s="1"/>
  <c r="M42" i="28"/>
  <c r="G35" i="37"/>
  <c r="X34" i="36"/>
  <c r="Y34" i="36" s="1"/>
  <c r="W34" i="36" s="1"/>
  <c r="Z33" i="36"/>
  <c r="E46" i="36"/>
  <c r="F46" i="36" s="1"/>
  <c r="L42" i="28"/>
  <c r="J37" i="31"/>
  <c r="S31" i="36"/>
  <c r="T31" i="36" s="1"/>
  <c r="R31" i="36" s="1"/>
  <c r="G35" i="36"/>
  <c r="Q34" i="36"/>
  <c r="M43" i="31"/>
  <c r="AD23" i="37"/>
  <c r="AA21" i="37"/>
  <c r="AD29" i="36"/>
  <c r="AC30" i="36"/>
  <c r="AD24" i="37"/>
  <c r="AC25" i="37"/>
  <c r="AB29" i="36"/>
  <c r="AA30" i="36"/>
  <c r="J36" i="30"/>
  <c r="AE46" i="37"/>
  <c r="AF46" i="37" s="1"/>
  <c r="O46" i="37"/>
  <c r="B46" i="37"/>
  <c r="A47" i="37"/>
  <c r="C47" i="37" s="1"/>
  <c r="V46" i="37"/>
  <c r="L46" i="37"/>
  <c r="E46" i="37"/>
  <c r="M46" i="37"/>
  <c r="N46" i="37" s="1"/>
  <c r="L47" i="36"/>
  <c r="AE47" i="36"/>
  <c r="AF47" i="36" s="1"/>
  <c r="O47" i="36"/>
  <c r="B47" i="36"/>
  <c r="E47" i="36" s="1"/>
  <c r="F47" i="36" s="1"/>
  <c r="V47" i="36"/>
  <c r="D47" i="36"/>
  <c r="A48" i="36"/>
  <c r="C48" i="36" s="1"/>
  <c r="M47" i="36"/>
  <c r="N47" i="36" s="1"/>
  <c r="A39" i="11"/>
  <c r="C39" i="11" s="1"/>
  <c r="B38" i="11"/>
  <c r="M38" i="11"/>
  <c r="N38" i="11" s="1"/>
  <c r="AE38" i="11"/>
  <c r="AF38" i="11" s="1"/>
  <c r="F46" i="25" s="1"/>
  <c r="H36" i="33"/>
  <c r="C44" i="31"/>
  <c r="C45" i="25"/>
  <c r="C44" i="30"/>
  <c r="C46" i="28"/>
  <c r="E37" i="11"/>
  <c r="F37" i="11" s="1"/>
  <c r="V38" i="11"/>
  <c r="D38" i="11"/>
  <c r="H38" i="11"/>
  <c r="H39" i="11" s="1"/>
  <c r="O38" i="11"/>
  <c r="D46" i="28"/>
  <c r="D45" i="25"/>
  <c r="D44" i="31"/>
  <c r="D44" i="30"/>
  <c r="I36" i="33"/>
  <c r="J36" i="33"/>
  <c r="G36" i="11"/>
  <c r="L43" i="31"/>
  <c r="A39" i="19"/>
  <c r="C39" i="19" s="1"/>
  <c r="B38" i="19"/>
  <c r="M38" i="19"/>
  <c r="N38" i="19" s="1"/>
  <c r="AE38" i="19"/>
  <c r="AF38" i="19" s="1"/>
  <c r="G46" i="25" s="1"/>
  <c r="E38" i="19"/>
  <c r="O38" i="19"/>
  <c r="O39" i="19" s="1"/>
  <c r="E45" i="25"/>
  <c r="E44" i="30"/>
  <c r="E46" i="28"/>
  <c r="E44" i="31"/>
  <c r="F37" i="19"/>
  <c r="V38" i="19"/>
  <c r="V39" i="19" s="1"/>
  <c r="G27" i="19"/>
  <c r="L35" i="19"/>
  <c r="G43" i="28"/>
  <c r="L30" i="11"/>
  <c r="F38" i="28"/>
  <c r="I25" i="11"/>
  <c r="D26" i="19"/>
  <c r="I34" i="28"/>
  <c r="W17" i="19"/>
  <c r="AC17" i="19"/>
  <c r="AD17" i="19" s="1"/>
  <c r="L16" i="33" s="1"/>
  <c r="G24" i="30"/>
  <c r="H19" i="28"/>
  <c r="V39" i="11" l="1"/>
  <c r="O39" i="11"/>
  <c r="I39" i="19"/>
  <c r="I48" i="36"/>
  <c r="J39" i="11"/>
  <c r="J48" i="36"/>
  <c r="H47" i="37"/>
  <c r="J39" i="19"/>
  <c r="J47" i="37"/>
  <c r="H48" i="36"/>
  <c r="I47" i="37"/>
  <c r="U31" i="36"/>
  <c r="K35" i="36"/>
  <c r="P35" i="36"/>
  <c r="Q35" i="36" s="1"/>
  <c r="P42" i="31"/>
  <c r="Z27" i="37"/>
  <c r="P35" i="37"/>
  <c r="Q42" i="31"/>
  <c r="K35" i="37"/>
  <c r="P27" i="19"/>
  <c r="O34" i="31"/>
  <c r="K27" i="19"/>
  <c r="K36" i="28" s="1"/>
  <c r="P25" i="11"/>
  <c r="Q25" i="11" s="1"/>
  <c r="N32" i="31"/>
  <c r="K25" i="11"/>
  <c r="H39" i="19"/>
  <c r="X28" i="37"/>
  <c r="Y28" i="37" s="1"/>
  <c r="W28" i="37" s="1"/>
  <c r="AD25" i="37"/>
  <c r="AC26" i="37"/>
  <c r="G36" i="37"/>
  <c r="Q35" i="37"/>
  <c r="F46" i="37"/>
  <c r="M43" i="28"/>
  <c r="D46" i="37"/>
  <c r="D47" i="37" s="1"/>
  <c r="X35" i="36"/>
  <c r="Y35" i="36" s="1"/>
  <c r="W35" i="36" s="1"/>
  <c r="G36" i="36"/>
  <c r="L43" i="28"/>
  <c r="AB30" i="36"/>
  <c r="AA31" i="36"/>
  <c r="AD30" i="36"/>
  <c r="AC31" i="36"/>
  <c r="J38" i="31"/>
  <c r="S32" i="36"/>
  <c r="T32" i="36" s="1"/>
  <c r="R32" i="36" s="1"/>
  <c r="J37" i="30"/>
  <c r="Z34" i="36"/>
  <c r="K28" i="30"/>
  <c r="AB21" i="37"/>
  <c r="K28" i="31"/>
  <c r="S22" i="37"/>
  <c r="T22" i="37" s="1"/>
  <c r="R22" i="37" s="1"/>
  <c r="L47" i="37"/>
  <c r="M47" i="37"/>
  <c r="N47" i="37" s="1"/>
  <c r="V47" i="37"/>
  <c r="O47" i="37"/>
  <c r="E47" i="37"/>
  <c r="A48" i="37"/>
  <c r="C48" i="37" s="1"/>
  <c r="AE47" i="37"/>
  <c r="AF47" i="37" s="1"/>
  <c r="B47" i="37"/>
  <c r="F47" i="37" s="1"/>
  <c r="A49" i="36"/>
  <c r="C49" i="36" s="1"/>
  <c r="M48" i="36"/>
  <c r="N48" i="36" s="1"/>
  <c r="L48" i="36"/>
  <c r="D48" i="36"/>
  <c r="AE48" i="36"/>
  <c r="AF48" i="36" s="1"/>
  <c r="O48" i="36"/>
  <c r="B48" i="36"/>
  <c r="E48" i="36" s="1"/>
  <c r="F48" i="36" s="1"/>
  <c r="V48" i="36"/>
  <c r="C47" i="28"/>
  <c r="C45" i="31"/>
  <c r="C46" i="25"/>
  <c r="C45" i="30"/>
  <c r="H37" i="33"/>
  <c r="E38" i="11"/>
  <c r="F38" i="11" s="1"/>
  <c r="A40" i="11"/>
  <c r="B39" i="11"/>
  <c r="M39" i="11"/>
  <c r="N39" i="11" s="1"/>
  <c r="AE39" i="11"/>
  <c r="AF39" i="11" s="1"/>
  <c r="F47" i="25" s="1"/>
  <c r="D39" i="11"/>
  <c r="D45" i="31"/>
  <c r="D47" i="28"/>
  <c r="D46" i="25"/>
  <c r="D45" i="30"/>
  <c r="F38" i="19"/>
  <c r="I37" i="33"/>
  <c r="J37" i="33"/>
  <c r="G37" i="11"/>
  <c r="L44" i="31"/>
  <c r="E45" i="30"/>
  <c r="E46" i="25"/>
  <c r="E45" i="31"/>
  <c r="E47" i="28"/>
  <c r="A40" i="19"/>
  <c r="C40" i="19" s="1"/>
  <c r="M39" i="19"/>
  <c r="N39" i="19" s="1"/>
  <c r="B39" i="19"/>
  <c r="AE39" i="19"/>
  <c r="AF39" i="19" s="1"/>
  <c r="G47" i="25" s="1"/>
  <c r="E39" i="19"/>
  <c r="V40" i="19"/>
  <c r="M44" i="31"/>
  <c r="G44" i="28"/>
  <c r="L36" i="19"/>
  <c r="G28" i="19"/>
  <c r="Q27" i="19"/>
  <c r="I26" i="11"/>
  <c r="L31" i="11"/>
  <c r="F39" i="28"/>
  <c r="D27" i="19"/>
  <c r="I35" i="28"/>
  <c r="X18" i="19"/>
  <c r="Y18" i="19" s="1"/>
  <c r="G24" i="31"/>
  <c r="H20" i="28"/>
  <c r="H49" i="36" l="1"/>
  <c r="J49" i="36"/>
  <c r="J48" i="37"/>
  <c r="J40" i="11"/>
  <c r="O40" i="19"/>
  <c r="H40" i="11"/>
  <c r="C40" i="11"/>
  <c r="J40" i="19"/>
  <c r="I49" i="36"/>
  <c r="I48" i="37"/>
  <c r="H48" i="37"/>
  <c r="K36" i="36"/>
  <c r="P36" i="36"/>
  <c r="Q36" i="36" s="1"/>
  <c r="P43" i="31"/>
  <c r="U32" i="36"/>
  <c r="P26" i="11"/>
  <c r="N33" i="31"/>
  <c r="J34" i="28"/>
  <c r="K26" i="11"/>
  <c r="K36" i="37"/>
  <c r="P36" i="37"/>
  <c r="Q43" i="31"/>
  <c r="U22" i="37"/>
  <c r="P28" i="19"/>
  <c r="Q28" i="19" s="1"/>
  <c r="O35" i="31"/>
  <c r="K28" i="19"/>
  <c r="K37" i="28" s="1"/>
  <c r="Z28" i="37"/>
  <c r="I40" i="19"/>
  <c r="H40" i="19"/>
  <c r="X29" i="37"/>
  <c r="Y29" i="37" s="1"/>
  <c r="W29" i="37" s="1"/>
  <c r="M44" i="28"/>
  <c r="G37" i="37"/>
  <c r="Q36" i="37"/>
  <c r="AD26" i="37"/>
  <c r="AC27" i="37"/>
  <c r="J39" i="31"/>
  <c r="S33" i="36"/>
  <c r="T33" i="36" s="1"/>
  <c r="R33" i="36" s="1"/>
  <c r="X36" i="36"/>
  <c r="Y36" i="36" s="1"/>
  <c r="W36" i="36" s="1"/>
  <c r="J38" i="30"/>
  <c r="AB31" i="36"/>
  <c r="AA32" i="36"/>
  <c r="Z35" i="36"/>
  <c r="AD31" i="36"/>
  <c r="AC32" i="36"/>
  <c r="L44" i="28"/>
  <c r="G37" i="36"/>
  <c r="AA22" i="37"/>
  <c r="K29" i="31"/>
  <c r="S23" i="37"/>
  <c r="T23" i="37" s="1"/>
  <c r="R23" i="37" s="1"/>
  <c r="A49" i="37"/>
  <c r="C49" i="37" s="1"/>
  <c r="M48" i="37"/>
  <c r="N48" i="37" s="1"/>
  <c r="B48" i="37"/>
  <c r="L48" i="37"/>
  <c r="D48" i="37"/>
  <c r="AE48" i="37"/>
  <c r="AF48" i="37" s="1"/>
  <c r="O48" i="37"/>
  <c r="V48" i="37"/>
  <c r="V49" i="36"/>
  <c r="A50" i="36"/>
  <c r="C50" i="36" s="1"/>
  <c r="M49" i="36"/>
  <c r="N49" i="36" s="1"/>
  <c r="L49" i="36"/>
  <c r="D49" i="36"/>
  <c r="B49" i="36"/>
  <c r="E49" i="36" s="1"/>
  <c r="F49" i="36" s="1"/>
  <c r="AE49" i="36"/>
  <c r="AF49" i="36" s="1"/>
  <c r="O49" i="36"/>
  <c r="V40" i="11"/>
  <c r="O40" i="11"/>
  <c r="A41" i="11"/>
  <c r="C41" i="11" s="1"/>
  <c r="B40" i="11"/>
  <c r="M40" i="11"/>
  <c r="N40" i="11" s="1"/>
  <c r="AE40" i="11"/>
  <c r="AF40" i="11" s="1"/>
  <c r="F48" i="25" s="1"/>
  <c r="C46" i="31"/>
  <c r="C48" i="28"/>
  <c r="H38" i="33"/>
  <c r="C47" i="25"/>
  <c r="C46" i="30"/>
  <c r="E39" i="11"/>
  <c r="F39" i="11" s="1"/>
  <c r="D40" i="11"/>
  <c r="D46" i="30"/>
  <c r="D46" i="31"/>
  <c r="D48" i="28"/>
  <c r="D47" i="25"/>
  <c r="I38" i="33"/>
  <c r="J38" i="33"/>
  <c r="J35" i="28"/>
  <c r="Q26" i="11"/>
  <c r="L45" i="31"/>
  <c r="G38" i="11"/>
  <c r="M45" i="31"/>
  <c r="E47" i="25"/>
  <c r="E48" i="28"/>
  <c r="E46" i="30"/>
  <c r="E46" i="31"/>
  <c r="A41" i="19"/>
  <c r="O41" i="19" s="1"/>
  <c r="M40" i="19"/>
  <c r="N40" i="19" s="1"/>
  <c r="B40" i="19"/>
  <c r="AE40" i="19"/>
  <c r="AF40" i="19" s="1"/>
  <c r="G48" i="25" s="1"/>
  <c r="E40" i="19"/>
  <c r="F39" i="19"/>
  <c r="L37" i="19"/>
  <c r="G45" i="28"/>
  <c r="G29" i="19"/>
  <c r="I27" i="11"/>
  <c r="L32" i="11"/>
  <c r="F40" i="28"/>
  <c r="W18" i="19"/>
  <c r="Z18" i="19"/>
  <c r="D28" i="19"/>
  <c r="I36" i="28"/>
  <c r="AC18" i="19"/>
  <c r="AD18" i="19" s="1"/>
  <c r="H21" i="28"/>
  <c r="J41" i="19" l="1"/>
  <c r="J41" i="11"/>
  <c r="H49" i="37"/>
  <c r="J49" i="37"/>
  <c r="I49" i="37"/>
  <c r="J50" i="36"/>
  <c r="I50" i="36"/>
  <c r="H50" i="36"/>
  <c r="P37" i="36"/>
  <c r="P44" i="31"/>
  <c r="K27" i="11"/>
  <c r="U33" i="36"/>
  <c r="K37" i="36"/>
  <c r="P27" i="11"/>
  <c r="N34" i="31"/>
  <c r="P37" i="37"/>
  <c r="Q37" i="37" s="1"/>
  <c r="Q44" i="31"/>
  <c r="K37" i="37"/>
  <c r="U23" i="37"/>
  <c r="Z29" i="37"/>
  <c r="K29" i="19"/>
  <c r="K38" i="28" s="1"/>
  <c r="P29" i="19"/>
  <c r="Q29" i="19" s="1"/>
  <c r="O36" i="31"/>
  <c r="H41" i="19"/>
  <c r="I41" i="19"/>
  <c r="C41" i="19"/>
  <c r="AD27" i="37"/>
  <c r="AC28" i="37"/>
  <c r="G38" i="37"/>
  <c r="E48" i="37"/>
  <c r="F48" i="37" s="1"/>
  <c r="M45" i="28"/>
  <c r="X30" i="37"/>
  <c r="Y30" i="37" s="1"/>
  <c r="X37" i="36"/>
  <c r="Y37" i="36" s="1"/>
  <c r="W37" i="36" s="1"/>
  <c r="J40" i="31"/>
  <c r="S34" i="36"/>
  <c r="T34" i="36" s="1"/>
  <c r="R34" i="36" s="1"/>
  <c r="AD32" i="36"/>
  <c r="AC33" i="36"/>
  <c r="AB32" i="36"/>
  <c r="AA33" i="36"/>
  <c r="G38" i="36"/>
  <c r="Q37" i="36"/>
  <c r="L45" i="28"/>
  <c r="Z36" i="36"/>
  <c r="Z37" i="36" s="1"/>
  <c r="J39" i="30"/>
  <c r="M46" i="31"/>
  <c r="K29" i="30"/>
  <c r="S24" i="37"/>
  <c r="T24" i="37" s="1"/>
  <c r="R24" i="37" s="1"/>
  <c r="K30" i="31"/>
  <c r="AB22" i="37"/>
  <c r="AA23" i="37"/>
  <c r="V49" i="37"/>
  <c r="E49" i="37"/>
  <c r="AE49" i="37"/>
  <c r="AF49" i="37" s="1"/>
  <c r="O49" i="37"/>
  <c r="B49" i="37"/>
  <c r="M49" i="37"/>
  <c r="N49" i="37" s="1"/>
  <c r="L49" i="37"/>
  <c r="A50" i="37"/>
  <c r="C50" i="37" s="1"/>
  <c r="D49" i="37"/>
  <c r="AE50" i="36"/>
  <c r="AF50" i="36" s="1"/>
  <c r="O50" i="36"/>
  <c r="B50" i="36"/>
  <c r="E50" i="36" s="1"/>
  <c r="F50" i="36" s="1"/>
  <c r="V50" i="36"/>
  <c r="A51" i="36"/>
  <c r="C51" i="36" s="1"/>
  <c r="M50" i="36"/>
  <c r="N50" i="36" s="1"/>
  <c r="D50" i="36"/>
  <c r="L50" i="36"/>
  <c r="O41" i="11"/>
  <c r="V41" i="11"/>
  <c r="H39" i="33"/>
  <c r="C47" i="30"/>
  <c r="C47" i="31"/>
  <c r="C49" i="28"/>
  <c r="C48" i="25"/>
  <c r="E40" i="11"/>
  <c r="F40" i="11" s="1"/>
  <c r="A42" i="11"/>
  <c r="C42" i="11" s="1"/>
  <c r="B41" i="11"/>
  <c r="M41" i="11"/>
  <c r="N41" i="11" s="1"/>
  <c r="D41" i="11"/>
  <c r="AE41" i="11"/>
  <c r="AF41" i="11" s="1"/>
  <c r="F49" i="25" s="1"/>
  <c r="H41" i="11"/>
  <c r="D48" i="25"/>
  <c r="D47" i="30"/>
  <c r="D47" i="31"/>
  <c r="D49" i="28"/>
  <c r="I39" i="33"/>
  <c r="J39" i="33"/>
  <c r="G39" i="11"/>
  <c r="Q27" i="11"/>
  <c r="L46" i="31"/>
  <c r="J36" i="28"/>
  <c r="E48" i="25"/>
  <c r="E47" i="31"/>
  <c r="E49" i="28"/>
  <c r="E47" i="30"/>
  <c r="A42" i="19"/>
  <c r="AE41" i="19"/>
  <c r="AF41" i="19" s="1"/>
  <c r="G49" i="25" s="1"/>
  <c r="B41" i="19"/>
  <c r="E41" i="19"/>
  <c r="M41" i="19"/>
  <c r="N41" i="19" s="1"/>
  <c r="F40" i="19"/>
  <c r="V41" i="19"/>
  <c r="L38" i="19"/>
  <c r="G46" i="28"/>
  <c r="G30" i="19"/>
  <c r="I28" i="11"/>
  <c r="L33" i="11"/>
  <c r="F41" i="28"/>
  <c r="D29" i="19"/>
  <c r="I37" i="28"/>
  <c r="X19" i="19"/>
  <c r="Y19" i="19" s="1"/>
  <c r="Z19" i="19" s="1"/>
  <c r="G25" i="31"/>
  <c r="G25" i="30"/>
  <c r="L17" i="33"/>
  <c r="H22" i="28"/>
  <c r="V42" i="19" l="1"/>
  <c r="H51" i="36"/>
  <c r="J50" i="37"/>
  <c r="I51" i="36"/>
  <c r="H50" i="37"/>
  <c r="J51" i="36"/>
  <c r="J42" i="11"/>
  <c r="I50" i="37"/>
  <c r="J42" i="19"/>
  <c r="K28" i="11"/>
  <c r="P38" i="36"/>
  <c r="P45" i="31"/>
  <c r="K38" i="36"/>
  <c r="P28" i="11"/>
  <c r="N35" i="31"/>
  <c r="U34" i="36"/>
  <c r="K38" i="37"/>
  <c r="P38" i="37"/>
  <c r="Q45" i="31"/>
  <c r="U24" i="37"/>
  <c r="Z30" i="37"/>
  <c r="W30" i="37"/>
  <c r="P30" i="19"/>
  <c r="Q30" i="19" s="1"/>
  <c r="O37" i="31"/>
  <c r="K30" i="19"/>
  <c r="O42" i="19"/>
  <c r="C42" i="19"/>
  <c r="E42" i="19" s="1"/>
  <c r="H42" i="19"/>
  <c r="G39" i="37"/>
  <c r="Q38" i="37"/>
  <c r="F49" i="37"/>
  <c r="M46" i="28"/>
  <c r="AD28" i="37"/>
  <c r="AC29" i="37"/>
  <c r="X31" i="37"/>
  <c r="Y31" i="37" s="1"/>
  <c r="Z31" i="37" s="1"/>
  <c r="W38" i="36"/>
  <c r="X38" i="36"/>
  <c r="Y38" i="36" s="1"/>
  <c r="Z38" i="36" s="1"/>
  <c r="L46" i="28"/>
  <c r="AD33" i="36"/>
  <c r="AC34" i="36"/>
  <c r="J41" i="31"/>
  <c r="S35" i="36"/>
  <c r="T35" i="36" s="1"/>
  <c r="R35" i="36" s="1"/>
  <c r="J40" i="30"/>
  <c r="G39" i="36"/>
  <c r="Q38" i="36"/>
  <c r="AB33" i="36"/>
  <c r="AA34" i="36"/>
  <c r="S25" i="37"/>
  <c r="T25" i="37" s="1"/>
  <c r="R25" i="37" s="1"/>
  <c r="K31" i="31"/>
  <c r="AB23" i="37"/>
  <c r="AA24" i="37"/>
  <c r="K30" i="30"/>
  <c r="AE50" i="37"/>
  <c r="AF50" i="37" s="1"/>
  <c r="O50" i="37"/>
  <c r="B50" i="37"/>
  <c r="V50" i="37"/>
  <c r="M50" i="37"/>
  <c r="N50" i="37" s="1"/>
  <c r="L50" i="37"/>
  <c r="E50" i="37"/>
  <c r="A51" i="37"/>
  <c r="C51" i="37" s="1"/>
  <c r="L51" i="36"/>
  <c r="AE51" i="36"/>
  <c r="AF51" i="36" s="1"/>
  <c r="O51" i="36"/>
  <c r="B51" i="36"/>
  <c r="E51" i="36" s="1"/>
  <c r="F51" i="36" s="1"/>
  <c r="V51" i="36"/>
  <c r="D51" i="36"/>
  <c r="A52" i="36"/>
  <c r="C52" i="36" s="1"/>
  <c r="M51" i="36"/>
  <c r="N51" i="36" s="1"/>
  <c r="A43" i="11"/>
  <c r="C43" i="11" s="1"/>
  <c r="B42" i="11"/>
  <c r="M42" i="11"/>
  <c r="D42" i="11"/>
  <c r="AE42" i="11"/>
  <c r="AF42" i="11" s="1"/>
  <c r="F50" i="25" s="1"/>
  <c r="N42" i="11"/>
  <c r="O42" i="11"/>
  <c r="O43" i="11" s="1"/>
  <c r="H40" i="33"/>
  <c r="C48" i="30"/>
  <c r="C50" i="28"/>
  <c r="C48" i="31"/>
  <c r="C49" i="25"/>
  <c r="E41" i="11"/>
  <c r="F41" i="11" s="1"/>
  <c r="H42" i="11"/>
  <c r="V42" i="11"/>
  <c r="V43" i="11" s="1"/>
  <c r="D50" i="28"/>
  <c r="D49" i="25"/>
  <c r="D48" i="30"/>
  <c r="D48" i="31"/>
  <c r="I40" i="33"/>
  <c r="J40" i="33"/>
  <c r="L47" i="31"/>
  <c r="G40" i="11"/>
  <c r="Q28" i="11"/>
  <c r="J37" i="28"/>
  <c r="M47" i="31"/>
  <c r="F41" i="19"/>
  <c r="E50" i="28"/>
  <c r="E48" i="31"/>
  <c r="E49" i="25"/>
  <c r="E48" i="30"/>
  <c r="A43" i="19"/>
  <c r="B42" i="19"/>
  <c r="M42" i="19"/>
  <c r="N42" i="19" s="1"/>
  <c r="AE42" i="19"/>
  <c r="AF42" i="19" s="1"/>
  <c r="G50" i="25" s="1"/>
  <c r="I42" i="19"/>
  <c r="G31" i="19"/>
  <c r="L39" i="19"/>
  <c r="G47" i="28"/>
  <c r="I29" i="11"/>
  <c r="L34" i="11"/>
  <c r="F42" i="28"/>
  <c r="D30" i="19"/>
  <c r="I38" i="28"/>
  <c r="AC19" i="19"/>
  <c r="AD19" i="19" s="1"/>
  <c r="L18" i="33" s="1"/>
  <c r="W19" i="19"/>
  <c r="H23" i="28"/>
  <c r="J43" i="19" l="1"/>
  <c r="H51" i="37"/>
  <c r="I51" i="37"/>
  <c r="I52" i="36"/>
  <c r="J43" i="11"/>
  <c r="J51" i="37"/>
  <c r="H43" i="11"/>
  <c r="J52" i="36"/>
  <c r="H52" i="36"/>
  <c r="K29" i="11"/>
  <c r="K39" i="36"/>
  <c r="U35" i="36"/>
  <c r="N36" i="31"/>
  <c r="P29" i="11"/>
  <c r="P39" i="36"/>
  <c r="Q39" i="36" s="1"/>
  <c r="P46" i="31"/>
  <c r="P39" i="37"/>
  <c r="Q39" i="37" s="1"/>
  <c r="Q46" i="31"/>
  <c r="K39" i="37"/>
  <c r="K39" i="28"/>
  <c r="K31" i="19"/>
  <c r="K40" i="28" s="1"/>
  <c r="P31" i="19"/>
  <c r="O38" i="31"/>
  <c r="U25" i="37"/>
  <c r="H43" i="19"/>
  <c r="V43" i="19"/>
  <c r="C43" i="19"/>
  <c r="M47" i="28"/>
  <c r="D50" i="37"/>
  <c r="W31" i="37"/>
  <c r="G40" i="37"/>
  <c r="F50" i="37"/>
  <c r="K32" i="31"/>
  <c r="S26" i="37"/>
  <c r="T26" i="37" s="1"/>
  <c r="R26" i="37" s="1"/>
  <c r="AD29" i="37"/>
  <c r="AC30" i="37"/>
  <c r="J42" i="31"/>
  <c r="S36" i="36"/>
  <c r="T36" i="36" s="1"/>
  <c r="R36" i="36" s="1"/>
  <c r="J41" i="30"/>
  <c r="AD34" i="36"/>
  <c r="AC35" i="36"/>
  <c r="AB34" i="36"/>
  <c r="AA35" i="36"/>
  <c r="G40" i="36"/>
  <c r="L47" i="28"/>
  <c r="X39" i="36"/>
  <c r="Y39" i="36" s="1"/>
  <c r="Z39" i="36" s="1"/>
  <c r="AB24" i="37"/>
  <c r="AA25" i="37"/>
  <c r="K31" i="30"/>
  <c r="L51" i="37"/>
  <c r="A52" i="37"/>
  <c r="C52" i="37" s="1"/>
  <c r="V51" i="37"/>
  <c r="E51" i="37"/>
  <c r="AE51" i="37"/>
  <c r="AF51" i="37" s="1"/>
  <c r="M51" i="37"/>
  <c r="N51" i="37" s="1"/>
  <c r="D51" i="37"/>
  <c r="B51" i="37"/>
  <c r="O51" i="37"/>
  <c r="A53" i="36"/>
  <c r="C53" i="36" s="1"/>
  <c r="M52" i="36"/>
  <c r="N52" i="36" s="1"/>
  <c r="L52" i="36"/>
  <c r="D52" i="36"/>
  <c r="AE52" i="36"/>
  <c r="AF52" i="36" s="1"/>
  <c r="O52" i="36"/>
  <c r="B52" i="36"/>
  <c r="E52" i="36" s="1"/>
  <c r="F52" i="36" s="1"/>
  <c r="V52" i="36"/>
  <c r="C51" i="28"/>
  <c r="C49" i="31"/>
  <c r="C50" i="25"/>
  <c r="C49" i="30"/>
  <c r="H41" i="33"/>
  <c r="E42" i="11"/>
  <c r="F42" i="11" s="1"/>
  <c r="A44" i="11"/>
  <c r="C44" i="11" s="1"/>
  <c r="B43" i="11"/>
  <c r="AE43" i="11"/>
  <c r="AF43" i="11" s="1"/>
  <c r="F51" i="25" s="1"/>
  <c r="M43" i="11"/>
  <c r="D43" i="11"/>
  <c r="N43" i="11"/>
  <c r="D49" i="31"/>
  <c r="D51" i="28"/>
  <c r="D49" i="30"/>
  <c r="D50" i="25"/>
  <c r="I41" i="33"/>
  <c r="J41" i="33"/>
  <c r="J38" i="28"/>
  <c r="Q29" i="11"/>
  <c r="G41" i="11"/>
  <c r="I43" i="19"/>
  <c r="M48" i="31"/>
  <c r="L48" i="31"/>
  <c r="E51" i="28"/>
  <c r="E49" i="31"/>
  <c r="E49" i="30"/>
  <c r="E50" i="25"/>
  <c r="F42" i="19"/>
  <c r="A44" i="19"/>
  <c r="C44" i="19" s="1"/>
  <c r="M43" i="19"/>
  <c r="N43" i="19" s="1"/>
  <c r="E43" i="19"/>
  <c r="B43" i="19"/>
  <c r="AE43" i="19"/>
  <c r="AF43" i="19" s="1"/>
  <c r="G51" i="25" s="1"/>
  <c r="O43" i="19"/>
  <c r="L40" i="19"/>
  <c r="G48" i="28"/>
  <c r="G32" i="19"/>
  <c r="Q31" i="19"/>
  <c r="I30" i="11"/>
  <c r="L35" i="11"/>
  <c r="F43" i="28"/>
  <c r="I39" i="28"/>
  <c r="D31" i="19"/>
  <c r="X20" i="19"/>
  <c r="Y20" i="19" s="1"/>
  <c r="Z20" i="19" s="1"/>
  <c r="G26" i="31"/>
  <c r="G26" i="30"/>
  <c r="H24" i="28"/>
  <c r="O44" i="19" l="1"/>
  <c r="J53" i="36"/>
  <c r="I53" i="36"/>
  <c r="I52" i="37"/>
  <c r="J52" i="37"/>
  <c r="H52" i="37"/>
  <c r="H53" i="36"/>
  <c r="J44" i="11"/>
  <c r="J44" i="19"/>
  <c r="U36" i="36"/>
  <c r="N37" i="31"/>
  <c r="P30" i="11"/>
  <c r="K40" i="36"/>
  <c r="P40" i="36"/>
  <c r="P47" i="31"/>
  <c r="K30" i="11"/>
  <c r="J39" i="28" s="1"/>
  <c r="P40" i="37"/>
  <c r="Q47" i="31"/>
  <c r="K40" i="37"/>
  <c r="K32" i="19"/>
  <c r="K41" i="28" s="1"/>
  <c r="P32" i="19"/>
  <c r="O39" i="31"/>
  <c r="U26" i="37"/>
  <c r="H44" i="19"/>
  <c r="K33" i="31"/>
  <c r="S27" i="37"/>
  <c r="T27" i="37" s="1"/>
  <c r="R27" i="37" s="1"/>
  <c r="M48" i="28"/>
  <c r="AD30" i="37"/>
  <c r="AC31" i="37"/>
  <c r="G41" i="37"/>
  <c r="Q40" i="37"/>
  <c r="F51" i="37"/>
  <c r="K32" i="30"/>
  <c r="X32" i="37"/>
  <c r="Y32" i="37" s="1"/>
  <c r="Z32" i="37" s="1"/>
  <c r="AB25" i="37"/>
  <c r="AA26" i="37"/>
  <c r="J42" i="30"/>
  <c r="W39" i="36"/>
  <c r="L48" i="28"/>
  <c r="G41" i="36"/>
  <c r="Q40" i="36"/>
  <c r="AD35" i="36"/>
  <c r="AC36" i="36"/>
  <c r="J43" i="31"/>
  <c r="S37" i="36"/>
  <c r="T37" i="36" s="1"/>
  <c r="R37" i="36" s="1"/>
  <c r="AB35" i="36"/>
  <c r="AA36" i="36"/>
  <c r="A53" i="37"/>
  <c r="C53" i="37" s="1"/>
  <c r="M52" i="37"/>
  <c r="N52" i="37" s="1"/>
  <c r="L52" i="37"/>
  <c r="V52" i="37"/>
  <c r="O52" i="37"/>
  <c r="E52" i="37"/>
  <c r="B52" i="37"/>
  <c r="AE52" i="37"/>
  <c r="AF52" i="37" s="1"/>
  <c r="V53" i="36"/>
  <c r="A54" i="36"/>
  <c r="C54" i="36" s="1"/>
  <c r="M53" i="36"/>
  <c r="N53" i="36" s="1"/>
  <c r="L53" i="36"/>
  <c r="D53" i="36"/>
  <c r="B53" i="36"/>
  <c r="O53" i="36"/>
  <c r="AE53" i="36"/>
  <c r="AF53" i="36" s="1"/>
  <c r="V44" i="11"/>
  <c r="O44" i="11"/>
  <c r="A45" i="11"/>
  <c r="C45" i="11" s="1"/>
  <c r="B44" i="11"/>
  <c r="AE44" i="11"/>
  <c r="AF44" i="11" s="1"/>
  <c r="F52" i="25" s="1"/>
  <c r="M44" i="11"/>
  <c r="N44" i="11" s="1"/>
  <c r="D44" i="11"/>
  <c r="C50" i="31"/>
  <c r="C51" i="25"/>
  <c r="C52" i="28"/>
  <c r="C50" i="30"/>
  <c r="H42" i="33"/>
  <c r="E43" i="11"/>
  <c r="F43" i="11" s="1"/>
  <c r="H44" i="11"/>
  <c r="H45" i="11" s="1"/>
  <c r="D50" i="30"/>
  <c r="D50" i="31"/>
  <c r="D51" i="25"/>
  <c r="D52" i="28"/>
  <c r="I42" i="33"/>
  <c r="J42" i="33"/>
  <c r="G42" i="11"/>
  <c r="Q30" i="11"/>
  <c r="A45" i="19"/>
  <c r="C45" i="19" s="1"/>
  <c r="AE44" i="19"/>
  <c r="AF44" i="19" s="1"/>
  <c r="G52" i="25" s="1"/>
  <c r="M44" i="19"/>
  <c r="N44" i="19" s="1"/>
  <c r="B44" i="19"/>
  <c r="E44" i="19"/>
  <c r="E50" i="30"/>
  <c r="E50" i="31"/>
  <c r="E52" i="28"/>
  <c r="E51" i="25"/>
  <c r="F43" i="19"/>
  <c r="M49" i="31"/>
  <c r="L49" i="31"/>
  <c r="I44" i="19"/>
  <c r="I45" i="19" s="1"/>
  <c r="O45" i="19"/>
  <c r="V44" i="19"/>
  <c r="L41" i="19"/>
  <c r="G49" i="28"/>
  <c r="G33" i="19"/>
  <c r="Q32" i="19"/>
  <c r="I31" i="11"/>
  <c r="L36" i="11"/>
  <c r="F44" i="28"/>
  <c r="D32" i="19"/>
  <c r="I40" i="28"/>
  <c r="W20" i="19"/>
  <c r="G27" i="30"/>
  <c r="AC20" i="19"/>
  <c r="AD20" i="19" s="1"/>
  <c r="H25" i="28"/>
  <c r="V45" i="19" l="1"/>
  <c r="J45" i="19"/>
  <c r="J53" i="37"/>
  <c r="J45" i="11"/>
  <c r="I53" i="37"/>
  <c r="H54" i="36"/>
  <c r="I54" i="36"/>
  <c r="H53" i="37"/>
  <c r="J54" i="36"/>
  <c r="P41" i="36"/>
  <c r="P48" i="31"/>
  <c r="U37" i="36"/>
  <c r="N38" i="31"/>
  <c r="P31" i="11"/>
  <c r="K31" i="11"/>
  <c r="K41" i="36"/>
  <c r="K41" i="37"/>
  <c r="P41" i="37"/>
  <c r="Q48" i="31"/>
  <c r="P33" i="19"/>
  <c r="Q33" i="19" s="1"/>
  <c r="O40" i="31"/>
  <c r="U27" i="37"/>
  <c r="K33" i="19"/>
  <c r="K42" i="28" s="1"/>
  <c r="H45" i="19"/>
  <c r="K34" i="31"/>
  <c r="S28" i="37"/>
  <c r="T28" i="37" s="1"/>
  <c r="R28" i="37" s="1"/>
  <c r="F52" i="37"/>
  <c r="D52" i="37"/>
  <c r="W32" i="37"/>
  <c r="AD31" i="37"/>
  <c r="AC32" i="37"/>
  <c r="AB26" i="37"/>
  <c r="AA27" i="37"/>
  <c r="K33" i="30"/>
  <c r="G42" i="37"/>
  <c r="Q41" i="37"/>
  <c r="M49" i="28"/>
  <c r="J44" i="31"/>
  <c r="S38" i="36"/>
  <c r="T38" i="36" s="1"/>
  <c r="R38" i="36" s="1"/>
  <c r="AB36" i="36"/>
  <c r="AA37" i="36"/>
  <c r="X40" i="36"/>
  <c r="Y40" i="36" s="1"/>
  <c r="Z40" i="36" s="1"/>
  <c r="AD36" i="36"/>
  <c r="AC37" i="36"/>
  <c r="G42" i="36"/>
  <c r="Q41" i="36"/>
  <c r="E53" i="36"/>
  <c r="F53" i="36" s="1"/>
  <c r="L49" i="28"/>
  <c r="J43" i="30"/>
  <c r="V53" i="37"/>
  <c r="M53" i="37"/>
  <c r="N53" i="37" s="1"/>
  <c r="B53" i="37"/>
  <c r="A54" i="37"/>
  <c r="C54" i="37" s="1"/>
  <c r="L53" i="37"/>
  <c r="D53" i="37"/>
  <c r="O53" i="37"/>
  <c r="E53" i="37"/>
  <c r="AE53" i="37"/>
  <c r="AF53" i="37" s="1"/>
  <c r="AE54" i="36"/>
  <c r="O54" i="36"/>
  <c r="B54" i="36"/>
  <c r="V54" i="36"/>
  <c r="A55" i="36"/>
  <c r="C55" i="36" s="1"/>
  <c r="M54" i="36"/>
  <c r="N54" i="36" s="1"/>
  <c r="L54" i="36"/>
  <c r="D54" i="36"/>
  <c r="AF54" i="36"/>
  <c r="O45" i="11"/>
  <c r="V45" i="11"/>
  <c r="H43" i="33"/>
  <c r="C51" i="30"/>
  <c r="C51" i="31"/>
  <c r="C53" i="28"/>
  <c r="C52" i="25"/>
  <c r="E44" i="11"/>
  <c r="F44" i="11" s="1"/>
  <c r="B45" i="11"/>
  <c r="AE45" i="11"/>
  <c r="AF45" i="11" s="1"/>
  <c r="F53" i="25" s="1"/>
  <c r="M45" i="11"/>
  <c r="N45" i="11" s="1"/>
  <c r="A46" i="11"/>
  <c r="C46" i="11" s="1"/>
  <c r="D45" i="11"/>
  <c r="D52" i="25"/>
  <c r="D51" i="30"/>
  <c r="D53" i="28"/>
  <c r="D51" i="31"/>
  <c r="I43" i="33"/>
  <c r="J43" i="33"/>
  <c r="F44" i="19"/>
  <c r="J40" i="28"/>
  <c r="G43" i="11"/>
  <c r="Q31" i="11"/>
  <c r="L50" i="31"/>
  <c r="M50" i="31"/>
  <c r="E51" i="31"/>
  <c r="E51" i="30"/>
  <c r="E53" i="28"/>
  <c r="E52" i="25"/>
  <c r="A46" i="19"/>
  <c r="AE45" i="19"/>
  <c r="AF45" i="19" s="1"/>
  <c r="G53" i="25" s="1"/>
  <c r="B45" i="19"/>
  <c r="M45" i="19"/>
  <c r="N45" i="19" s="1"/>
  <c r="E45" i="19"/>
  <c r="G34" i="19"/>
  <c r="L42" i="19"/>
  <c r="G50" i="28"/>
  <c r="I32" i="11"/>
  <c r="L37" i="11"/>
  <c r="F45" i="28"/>
  <c r="D33" i="19"/>
  <c r="I41" i="28"/>
  <c r="L19" i="33"/>
  <c r="X21" i="19"/>
  <c r="Y21" i="19" s="1"/>
  <c r="Z21" i="19" s="1"/>
  <c r="G27" i="31"/>
  <c r="H26" i="28"/>
  <c r="J55" i="36" l="1"/>
  <c r="I54" i="37"/>
  <c r="H54" i="37"/>
  <c r="J46" i="11"/>
  <c r="I55" i="36"/>
  <c r="J54" i="37"/>
  <c r="H55" i="36"/>
  <c r="J46" i="19"/>
  <c r="N39" i="31"/>
  <c r="P32" i="11"/>
  <c r="P42" i="36"/>
  <c r="Q42" i="36" s="1"/>
  <c r="P49" i="31"/>
  <c r="W40" i="36"/>
  <c r="K42" i="36"/>
  <c r="K32" i="11"/>
  <c r="J41" i="28" s="1"/>
  <c r="U38" i="36"/>
  <c r="P42" i="37"/>
  <c r="Q49" i="31"/>
  <c r="K42" i="37"/>
  <c r="K34" i="19"/>
  <c r="K43" i="28" s="1"/>
  <c r="P34" i="19"/>
  <c r="O41" i="31"/>
  <c r="U28" i="37"/>
  <c r="O46" i="19"/>
  <c r="C46" i="19"/>
  <c r="H46" i="19"/>
  <c r="K35" i="31"/>
  <c r="S29" i="37"/>
  <c r="T29" i="37" s="1"/>
  <c r="R29" i="37" s="1"/>
  <c r="M50" i="28"/>
  <c r="G43" i="37"/>
  <c r="Q42" i="37"/>
  <c r="AB27" i="37"/>
  <c r="AA28" i="37"/>
  <c r="X33" i="37"/>
  <c r="Y33" i="37" s="1"/>
  <c r="Z33" i="37" s="1"/>
  <c r="K34" i="30"/>
  <c r="AD32" i="37"/>
  <c r="F53" i="37"/>
  <c r="J45" i="31"/>
  <c r="S39" i="36"/>
  <c r="T39" i="36" s="1"/>
  <c r="R39" i="36" s="1"/>
  <c r="G43" i="36"/>
  <c r="X41" i="36"/>
  <c r="Y41" i="36" s="1"/>
  <c r="W41" i="36" s="1"/>
  <c r="J44" i="30"/>
  <c r="AD37" i="36"/>
  <c r="AC38" i="36"/>
  <c r="AB37" i="36"/>
  <c r="AA38" i="36"/>
  <c r="E54" i="36"/>
  <c r="F54" i="36" s="1"/>
  <c r="L50" i="28"/>
  <c r="AE54" i="37"/>
  <c r="AF54" i="37" s="1"/>
  <c r="O54" i="37"/>
  <c r="B54" i="37"/>
  <c r="D54" i="37"/>
  <c r="M54" i="37"/>
  <c r="N54" i="37" s="1"/>
  <c r="E54" i="37"/>
  <c r="A55" i="37"/>
  <c r="C55" i="37" s="1"/>
  <c r="L54" i="37"/>
  <c r="V54" i="37"/>
  <c r="L55" i="36"/>
  <c r="AE55" i="36"/>
  <c r="AF55" i="36" s="1"/>
  <c r="O55" i="36"/>
  <c r="B55" i="36"/>
  <c r="E55" i="36" s="1"/>
  <c r="V55" i="36"/>
  <c r="N55" i="36"/>
  <c r="M55" i="36"/>
  <c r="D55" i="36"/>
  <c r="B46" i="11"/>
  <c r="H46" i="11"/>
  <c r="M46" i="11"/>
  <c r="D46" i="11"/>
  <c r="H55" i="28" s="1"/>
  <c r="AE46" i="11"/>
  <c r="AF46" i="11" s="1"/>
  <c r="F54" i="25" s="1"/>
  <c r="A47" i="11"/>
  <c r="C47" i="11" s="1"/>
  <c r="N46" i="11"/>
  <c r="H44" i="33"/>
  <c r="C52" i="30"/>
  <c r="C52" i="31"/>
  <c r="C53" i="25"/>
  <c r="C54" i="28"/>
  <c r="E45" i="11"/>
  <c r="F45" i="11" s="1"/>
  <c r="O46" i="11"/>
  <c r="O47" i="11" s="1"/>
  <c r="V46" i="11"/>
  <c r="D54" i="28"/>
  <c r="D52" i="30"/>
  <c r="D53" i="25"/>
  <c r="D52" i="31"/>
  <c r="I44" i="33"/>
  <c r="J44" i="33"/>
  <c r="Q32" i="11"/>
  <c r="G44" i="11"/>
  <c r="E53" i="25"/>
  <c r="E52" i="31"/>
  <c r="E52" i="30"/>
  <c r="E54" i="28"/>
  <c r="L51" i="31"/>
  <c r="M51" i="31"/>
  <c r="F45" i="19"/>
  <c r="I46" i="19"/>
  <c r="A47" i="19"/>
  <c r="C47" i="19" s="1"/>
  <c r="B46" i="19"/>
  <c r="AE46" i="19"/>
  <c r="AF46" i="19" s="1"/>
  <c r="G54" i="25" s="1"/>
  <c r="M46" i="19"/>
  <c r="N46" i="19" s="1"/>
  <c r="E46" i="19"/>
  <c r="V46" i="19"/>
  <c r="L43" i="19"/>
  <c r="G51" i="28"/>
  <c r="G35" i="19"/>
  <c r="Q34" i="19"/>
  <c r="I33" i="11"/>
  <c r="L38" i="11"/>
  <c r="F46" i="28"/>
  <c r="D34" i="19"/>
  <c r="I42" i="28"/>
  <c r="W21" i="19"/>
  <c r="G28" i="30"/>
  <c r="AC21" i="19"/>
  <c r="AD21" i="19" s="1"/>
  <c r="H27" i="28"/>
  <c r="J47" i="19" l="1"/>
  <c r="J47" i="11"/>
  <c r="H55" i="37"/>
  <c r="V47" i="19"/>
  <c r="J55" i="37"/>
  <c r="I55" i="37"/>
  <c r="U39" i="36"/>
  <c r="N40" i="31"/>
  <c r="P33" i="11"/>
  <c r="K33" i="11"/>
  <c r="F55" i="36"/>
  <c r="P43" i="36"/>
  <c r="P50" i="31"/>
  <c r="K43" i="36"/>
  <c r="K43" i="37"/>
  <c r="P43" i="37"/>
  <c r="Q43" i="37" s="1"/>
  <c r="Q50" i="31"/>
  <c r="U29" i="37"/>
  <c r="P35" i="19"/>
  <c r="O42" i="31"/>
  <c r="K35" i="19"/>
  <c r="K44" i="28" s="1"/>
  <c r="H47" i="19"/>
  <c r="K36" i="31"/>
  <c r="S30" i="37"/>
  <c r="T30" i="37" s="1"/>
  <c r="R30" i="37" s="1"/>
  <c r="M51" i="28"/>
  <c r="F54" i="37"/>
  <c r="AC33" i="37"/>
  <c r="W33" i="37"/>
  <c r="K35" i="30"/>
  <c r="AB28" i="37"/>
  <c r="AA29" i="37"/>
  <c r="G44" i="37"/>
  <c r="X42" i="36"/>
  <c r="Y42" i="36" s="1"/>
  <c r="W42" i="36" s="1"/>
  <c r="J46" i="31"/>
  <c r="S40" i="36"/>
  <c r="T40" i="36" s="1"/>
  <c r="R40" i="36" s="1"/>
  <c r="L51" i="28"/>
  <c r="AD38" i="36"/>
  <c r="AC39" i="36"/>
  <c r="G44" i="36"/>
  <c r="Q43" i="36"/>
  <c r="Z41" i="36"/>
  <c r="Z42" i="36" s="1"/>
  <c r="AB38" i="36"/>
  <c r="AA39" i="36"/>
  <c r="J45" i="30"/>
  <c r="L55" i="37"/>
  <c r="D55" i="37"/>
  <c r="AE55" i="37"/>
  <c r="AF55" i="37" s="1"/>
  <c r="O55" i="37"/>
  <c r="B55" i="37"/>
  <c r="V55" i="37"/>
  <c r="M55" i="37"/>
  <c r="N55" i="37" s="1"/>
  <c r="B47" i="11"/>
  <c r="H47" i="11"/>
  <c r="AE47" i="11"/>
  <c r="AF47" i="11" s="1"/>
  <c r="F55" i="25" s="1"/>
  <c r="M47" i="11"/>
  <c r="A48" i="11"/>
  <c r="C48" i="11" s="1"/>
  <c r="N47" i="11"/>
  <c r="D47" i="11"/>
  <c r="H56" i="28" s="1"/>
  <c r="V47" i="11"/>
  <c r="C55" i="28"/>
  <c r="C54" i="25"/>
  <c r="C53" i="30"/>
  <c r="H45" i="33"/>
  <c r="C53" i="31"/>
  <c r="E46" i="11"/>
  <c r="F46" i="11" s="1"/>
  <c r="D53" i="31"/>
  <c r="D55" i="28"/>
  <c r="D54" i="25"/>
  <c r="D53" i="30"/>
  <c r="I45" i="33"/>
  <c r="J45" i="33"/>
  <c r="Q35" i="19"/>
  <c r="G45" i="11"/>
  <c r="J42" i="28"/>
  <c r="Q33" i="11"/>
  <c r="F46" i="19"/>
  <c r="A48" i="19"/>
  <c r="C48" i="19" s="1"/>
  <c r="M47" i="19"/>
  <c r="N47" i="19" s="1"/>
  <c r="B47" i="19"/>
  <c r="AE47" i="19"/>
  <c r="AF47" i="19" s="1"/>
  <c r="G55" i="25" s="1"/>
  <c r="E47" i="19"/>
  <c r="V48" i="19"/>
  <c r="I47" i="19"/>
  <c r="I48" i="19" s="1"/>
  <c r="M52" i="31"/>
  <c r="L52" i="31"/>
  <c r="E54" i="25"/>
  <c r="E53" i="31"/>
  <c r="E55" i="28"/>
  <c r="E53" i="30"/>
  <c r="O47" i="19"/>
  <c r="O48" i="19" s="1"/>
  <c r="G36" i="19"/>
  <c r="L44" i="19"/>
  <c r="G52" i="28"/>
  <c r="I34" i="11"/>
  <c r="L39" i="11"/>
  <c r="F47" i="28"/>
  <c r="D35" i="19"/>
  <c r="I43" i="28"/>
  <c r="L20" i="33"/>
  <c r="X22" i="19"/>
  <c r="Y22" i="19" s="1"/>
  <c r="Z22" i="19" s="1"/>
  <c r="G28" i="31"/>
  <c r="H28" i="28"/>
  <c r="J48" i="11" l="1"/>
  <c r="J48" i="19"/>
  <c r="G46" i="11"/>
  <c r="K44" i="36"/>
  <c r="K34" i="11"/>
  <c r="U40" i="36"/>
  <c r="P44" i="36"/>
  <c r="P51" i="31"/>
  <c r="P34" i="11"/>
  <c r="N41" i="31"/>
  <c r="P36" i="19"/>
  <c r="O43" i="31"/>
  <c r="K36" i="19"/>
  <c r="P44" i="37"/>
  <c r="Q51" i="31"/>
  <c r="K44" i="37"/>
  <c r="U30" i="37"/>
  <c r="H48" i="19"/>
  <c r="K37" i="31"/>
  <c r="S31" i="37"/>
  <c r="T31" i="37" s="1"/>
  <c r="R31" i="37" s="1"/>
  <c r="G45" i="37"/>
  <c r="Q44" i="37"/>
  <c r="AB29" i="37"/>
  <c r="AA30" i="37"/>
  <c r="M52" i="28"/>
  <c r="E55" i="37"/>
  <c r="F55" i="37" s="1"/>
  <c r="X34" i="37"/>
  <c r="Y34" i="37" s="1"/>
  <c r="Z34" i="37" s="1"/>
  <c r="K36" i="30"/>
  <c r="AD33" i="37"/>
  <c r="X43" i="36"/>
  <c r="Y43" i="36" s="1"/>
  <c r="W43" i="36" s="1"/>
  <c r="G45" i="36"/>
  <c r="Q44" i="36"/>
  <c r="J46" i="30"/>
  <c r="AD39" i="36"/>
  <c r="AC40" i="36"/>
  <c r="J47" i="31"/>
  <c r="S41" i="36"/>
  <c r="T41" i="36" s="1"/>
  <c r="R41" i="36" s="1"/>
  <c r="AB39" i="36"/>
  <c r="AA40" i="36"/>
  <c r="L52" i="28"/>
  <c r="B48" i="11"/>
  <c r="H48" i="11"/>
  <c r="AE48" i="11"/>
  <c r="AF48" i="11" s="1"/>
  <c r="F56" i="25" s="1"/>
  <c r="M48" i="11"/>
  <c r="N48" i="11" s="1"/>
  <c r="A49" i="11"/>
  <c r="C49" i="11" s="1"/>
  <c r="D48" i="11"/>
  <c r="H57" i="28" s="1"/>
  <c r="C54" i="31"/>
  <c r="C55" i="25"/>
  <c r="C54" i="30"/>
  <c r="C56" i="28"/>
  <c r="H46" i="33"/>
  <c r="E47" i="11"/>
  <c r="F47" i="11" s="1"/>
  <c r="V48" i="11"/>
  <c r="O48" i="11"/>
  <c r="D54" i="30"/>
  <c r="D54" i="31"/>
  <c r="D56" i="28"/>
  <c r="D55" i="25"/>
  <c r="K45" i="28"/>
  <c r="F47" i="19"/>
  <c r="I46" i="33"/>
  <c r="J46" i="33"/>
  <c r="Q34" i="11"/>
  <c r="J43" i="28"/>
  <c r="L53" i="31"/>
  <c r="M53" i="31"/>
  <c r="E56" i="28"/>
  <c r="E54" i="30"/>
  <c r="E55" i="25"/>
  <c r="E54" i="31"/>
  <c r="A49" i="19"/>
  <c r="C49" i="19" s="1"/>
  <c r="M48" i="19"/>
  <c r="B48" i="19"/>
  <c r="AE48" i="19"/>
  <c r="AF48" i="19" s="1"/>
  <c r="G56" i="25" s="1"/>
  <c r="E48" i="19"/>
  <c r="N48" i="19"/>
  <c r="Q36" i="19"/>
  <c r="G37" i="19"/>
  <c r="L45" i="19"/>
  <c r="G53" i="28"/>
  <c r="I44" i="28"/>
  <c r="D36" i="19"/>
  <c r="I35" i="11"/>
  <c r="L40" i="11"/>
  <c r="F48" i="28"/>
  <c r="W22" i="19"/>
  <c r="G29" i="30"/>
  <c r="AC22" i="19"/>
  <c r="AD22" i="19" s="1"/>
  <c r="H29" i="28"/>
  <c r="J49" i="19" l="1"/>
  <c r="J49" i="11"/>
  <c r="N42" i="31"/>
  <c r="P35" i="11"/>
  <c r="U41" i="36"/>
  <c r="P45" i="36"/>
  <c r="P52" i="31"/>
  <c r="K35" i="11"/>
  <c r="J44" i="28" s="1"/>
  <c r="G47" i="11"/>
  <c r="K45" i="36"/>
  <c r="AC34" i="37"/>
  <c r="AD34" i="37" s="1"/>
  <c r="K37" i="19"/>
  <c r="K46" i="28" s="1"/>
  <c r="P45" i="37"/>
  <c r="Q45" i="37" s="1"/>
  <c r="Q52" i="31"/>
  <c r="K45" i="37"/>
  <c r="P37" i="19"/>
  <c r="O44" i="31"/>
  <c r="U31" i="37"/>
  <c r="H49" i="19"/>
  <c r="K38" i="31"/>
  <c r="S32" i="37"/>
  <c r="T32" i="37" s="1"/>
  <c r="R32" i="37" s="1"/>
  <c r="W34" i="37"/>
  <c r="M53" i="28"/>
  <c r="K37" i="30"/>
  <c r="AB30" i="37"/>
  <c r="AA31" i="37"/>
  <c r="G46" i="37"/>
  <c r="X44" i="36"/>
  <c r="Y44" i="36" s="1"/>
  <c r="W44" i="36" s="1"/>
  <c r="J48" i="31"/>
  <c r="S42" i="36"/>
  <c r="T42" i="36" s="1"/>
  <c r="R42" i="36" s="1"/>
  <c r="AB40" i="36"/>
  <c r="AA41" i="36"/>
  <c r="Z43" i="36"/>
  <c r="J47" i="30"/>
  <c r="G46" i="36"/>
  <c r="Q45" i="36"/>
  <c r="L53" i="28"/>
  <c r="AD40" i="36"/>
  <c r="AC41" i="36"/>
  <c r="O49" i="11"/>
  <c r="V49" i="11"/>
  <c r="H47" i="33"/>
  <c r="C57" i="28"/>
  <c r="C56" i="25"/>
  <c r="C55" i="30"/>
  <c r="C55" i="31"/>
  <c r="E48" i="11"/>
  <c r="F48" i="11" s="1"/>
  <c r="A50" i="11"/>
  <c r="C50" i="11" s="1"/>
  <c r="B49" i="11"/>
  <c r="C56" i="31" s="1"/>
  <c r="H49" i="11"/>
  <c r="M49" i="11"/>
  <c r="N49" i="11" s="1"/>
  <c r="AE49" i="11"/>
  <c r="AF49" i="11" s="1"/>
  <c r="F57" i="25" s="1"/>
  <c r="D49" i="11"/>
  <c r="H58" i="28" s="1"/>
  <c r="D56" i="25"/>
  <c r="D55" i="30"/>
  <c r="D55" i="31"/>
  <c r="D57" i="28"/>
  <c r="F48" i="19"/>
  <c r="I47" i="33"/>
  <c r="J47" i="33"/>
  <c r="Q35" i="11"/>
  <c r="L54" i="31"/>
  <c r="M54" i="31"/>
  <c r="A50" i="19"/>
  <c r="C50" i="19" s="1"/>
  <c r="AE49" i="19"/>
  <c r="AF49" i="19" s="1"/>
  <c r="G57" i="25" s="1"/>
  <c r="M49" i="19"/>
  <c r="N49" i="19" s="1"/>
  <c r="B49" i="19"/>
  <c r="E49" i="19"/>
  <c r="O49" i="19"/>
  <c r="E56" i="25"/>
  <c r="E57" i="28"/>
  <c r="E55" i="30"/>
  <c r="E55" i="31"/>
  <c r="I49" i="19"/>
  <c r="V49" i="19"/>
  <c r="Q37" i="19"/>
  <c r="G38" i="19"/>
  <c r="D37" i="19"/>
  <c r="I45" i="28"/>
  <c r="L46" i="19"/>
  <c r="G54" i="28"/>
  <c r="I36" i="11"/>
  <c r="L41" i="11"/>
  <c r="F49" i="28"/>
  <c r="L21" i="33"/>
  <c r="X23" i="19"/>
  <c r="Y23" i="19" s="1"/>
  <c r="G29" i="31"/>
  <c r="H30" i="28"/>
  <c r="V50" i="19" l="1"/>
  <c r="I50" i="19"/>
  <c r="O50" i="19"/>
  <c r="D56" i="31"/>
  <c r="E56" i="31"/>
  <c r="J50" i="11"/>
  <c r="V50" i="11"/>
  <c r="J50" i="19"/>
  <c r="G48" i="11"/>
  <c r="U42" i="36"/>
  <c r="P46" i="36"/>
  <c r="P53" i="31"/>
  <c r="K36" i="11"/>
  <c r="J45" i="28" s="1"/>
  <c r="K46" i="36"/>
  <c r="P36" i="11"/>
  <c r="N43" i="31"/>
  <c r="Z44" i="36"/>
  <c r="K46" i="37"/>
  <c r="P38" i="19"/>
  <c r="O45" i="31"/>
  <c r="P46" i="37"/>
  <c r="Q53" i="31"/>
  <c r="K38" i="19"/>
  <c r="K47" i="28" s="1"/>
  <c r="U32" i="37"/>
  <c r="H50" i="19"/>
  <c r="K39" i="31"/>
  <c r="S33" i="37"/>
  <c r="T33" i="37" s="1"/>
  <c r="R33" i="37" s="1"/>
  <c r="K38" i="30"/>
  <c r="G47" i="37"/>
  <c r="Q46" i="37"/>
  <c r="X35" i="37"/>
  <c r="Y35" i="37" s="1"/>
  <c r="AB31" i="37"/>
  <c r="AA32" i="37"/>
  <c r="M54" i="28"/>
  <c r="J49" i="31"/>
  <c r="S43" i="36"/>
  <c r="T43" i="36" s="1"/>
  <c r="R43" i="36" s="1"/>
  <c r="X45" i="36"/>
  <c r="Y45" i="36" s="1"/>
  <c r="Z45" i="36" s="1"/>
  <c r="J48" i="30"/>
  <c r="AD41" i="36"/>
  <c r="AC42" i="36"/>
  <c r="L54" i="28"/>
  <c r="G47" i="36"/>
  <c r="Q46" i="36"/>
  <c r="AB41" i="36"/>
  <c r="AA42" i="36"/>
  <c r="C58" i="28"/>
  <c r="H48" i="33"/>
  <c r="C57" i="25"/>
  <c r="C56" i="30"/>
  <c r="E49" i="11"/>
  <c r="F49" i="11" s="1"/>
  <c r="A51" i="11"/>
  <c r="B50" i="11"/>
  <c r="C57" i="31" s="1"/>
  <c r="H50" i="11"/>
  <c r="M50" i="11"/>
  <c r="N50" i="11" s="1"/>
  <c r="D50" i="11"/>
  <c r="H59" i="28" s="1"/>
  <c r="AE50" i="11"/>
  <c r="AF50" i="11" s="1"/>
  <c r="F58" i="25" s="1"/>
  <c r="O50" i="11"/>
  <c r="D58" i="28"/>
  <c r="D57" i="25"/>
  <c r="D56" i="30"/>
  <c r="I48" i="33"/>
  <c r="J48" i="33"/>
  <c r="Q36" i="11"/>
  <c r="L55" i="31"/>
  <c r="M55" i="31"/>
  <c r="E56" i="30"/>
  <c r="E58" i="28"/>
  <c r="E57" i="25"/>
  <c r="A51" i="19"/>
  <c r="C51" i="19" s="1"/>
  <c r="B50" i="19"/>
  <c r="AE50" i="19"/>
  <c r="AF50" i="19" s="1"/>
  <c r="G58" i="25" s="1"/>
  <c r="M50" i="19"/>
  <c r="N50" i="19" s="1"/>
  <c r="E50" i="19"/>
  <c r="F49" i="19"/>
  <c r="D38" i="19"/>
  <c r="I46" i="28"/>
  <c r="L47" i="19"/>
  <c r="G55" i="28"/>
  <c r="G39" i="19"/>
  <c r="Q38" i="19"/>
  <c r="I37" i="11"/>
  <c r="L42" i="11"/>
  <c r="F50" i="28"/>
  <c r="W23" i="19"/>
  <c r="Z23" i="19"/>
  <c r="AC23" i="19"/>
  <c r="AD23" i="19" s="1"/>
  <c r="H31" i="28"/>
  <c r="O51" i="19" l="1"/>
  <c r="D57" i="31"/>
  <c r="E57" i="31"/>
  <c r="V51" i="11"/>
  <c r="C51" i="11"/>
  <c r="J51" i="19"/>
  <c r="O51" i="11"/>
  <c r="J51" i="11"/>
  <c r="K47" i="36"/>
  <c r="U43" i="36"/>
  <c r="K37" i="11"/>
  <c r="J46" i="28" s="1"/>
  <c r="G49" i="11"/>
  <c r="P47" i="36"/>
  <c r="P54" i="31"/>
  <c r="N44" i="31"/>
  <c r="P37" i="11"/>
  <c r="P47" i="37"/>
  <c r="Q54" i="31"/>
  <c r="P39" i="19"/>
  <c r="O46" i="31"/>
  <c r="K47" i="37"/>
  <c r="K39" i="19"/>
  <c r="K48" i="28" s="1"/>
  <c r="U33" i="37"/>
  <c r="H51" i="19"/>
  <c r="K40" i="31"/>
  <c r="S34" i="37"/>
  <c r="T34" i="37" s="1"/>
  <c r="R34" i="37" s="1"/>
  <c r="M55" i="28"/>
  <c r="AC35" i="37"/>
  <c r="Z35" i="37"/>
  <c r="G48" i="37"/>
  <c r="Q47" i="37"/>
  <c r="W35" i="37"/>
  <c r="K39" i="30"/>
  <c r="AB32" i="37"/>
  <c r="AA33" i="37"/>
  <c r="J50" i="31"/>
  <c r="S44" i="36"/>
  <c r="T44" i="36" s="1"/>
  <c r="R44" i="36" s="1"/>
  <c r="AB42" i="36"/>
  <c r="AA43" i="36"/>
  <c r="G48" i="36"/>
  <c r="Q47" i="36"/>
  <c r="AD42" i="36"/>
  <c r="AC43" i="36"/>
  <c r="W45" i="36"/>
  <c r="L55" i="28"/>
  <c r="J49" i="30"/>
  <c r="C59" i="28"/>
  <c r="C57" i="30"/>
  <c r="C58" i="25"/>
  <c r="H49" i="33"/>
  <c r="E50" i="11"/>
  <c r="F50" i="11" s="1"/>
  <c r="A52" i="11"/>
  <c r="B51" i="11"/>
  <c r="C58" i="31" s="1"/>
  <c r="H51" i="11"/>
  <c r="AE51" i="11"/>
  <c r="AF51" i="11" s="1"/>
  <c r="F59" i="25" s="1"/>
  <c r="M51" i="11"/>
  <c r="N51" i="11" s="1"/>
  <c r="D51" i="11"/>
  <c r="H60" i="28" s="1"/>
  <c r="F50" i="19"/>
  <c r="D59" i="28"/>
  <c r="D57" i="30"/>
  <c r="D58" i="25"/>
  <c r="I49" i="33"/>
  <c r="J49" i="33"/>
  <c r="Q37" i="11"/>
  <c r="M51" i="19"/>
  <c r="N51" i="19" s="1"/>
  <c r="B51" i="19"/>
  <c r="AE51" i="19"/>
  <c r="AF51" i="19" s="1"/>
  <c r="G59" i="25" s="1"/>
  <c r="E51" i="19"/>
  <c r="A52" i="19"/>
  <c r="C52" i="19" s="1"/>
  <c r="L56" i="31"/>
  <c r="M56" i="31"/>
  <c r="I51" i="19"/>
  <c r="E57" i="30"/>
  <c r="E58" i="25"/>
  <c r="E59" i="28"/>
  <c r="V51" i="19"/>
  <c r="Q39" i="19"/>
  <c r="G40" i="19"/>
  <c r="L48" i="19"/>
  <c r="G56" i="28"/>
  <c r="D39" i="19"/>
  <c r="I47" i="28"/>
  <c r="I38" i="11"/>
  <c r="L43" i="11"/>
  <c r="F51" i="28"/>
  <c r="L22" i="33"/>
  <c r="G30" i="30"/>
  <c r="X24" i="19"/>
  <c r="Y24" i="19" s="1"/>
  <c r="W24" i="19" s="1"/>
  <c r="G30" i="31"/>
  <c r="H32" i="28"/>
  <c r="V52" i="19" l="1"/>
  <c r="E58" i="31"/>
  <c r="D58" i="31"/>
  <c r="J52" i="19"/>
  <c r="V52" i="11"/>
  <c r="C52" i="11"/>
  <c r="J52" i="11"/>
  <c r="P38" i="11"/>
  <c r="N45" i="31"/>
  <c r="P48" i="36"/>
  <c r="P55" i="31"/>
  <c r="K38" i="11"/>
  <c r="J47" i="28" s="1"/>
  <c r="U44" i="36"/>
  <c r="G50" i="11"/>
  <c r="K48" i="36"/>
  <c r="P40" i="19"/>
  <c r="O47" i="31"/>
  <c r="P48" i="37"/>
  <c r="Q55" i="31"/>
  <c r="K40" i="19"/>
  <c r="K49" i="28" s="1"/>
  <c r="K48" i="37"/>
  <c r="U34" i="37"/>
  <c r="I52" i="19"/>
  <c r="H52" i="19"/>
  <c r="K41" i="31"/>
  <c r="S35" i="37"/>
  <c r="T35" i="37" s="1"/>
  <c r="R35" i="37" s="1"/>
  <c r="AB33" i="37"/>
  <c r="AA34" i="37"/>
  <c r="X36" i="37"/>
  <c r="Y36" i="37" s="1"/>
  <c r="Z36" i="37" s="1"/>
  <c r="AD35" i="37"/>
  <c r="K40" i="30"/>
  <c r="M56" i="28"/>
  <c r="G49" i="37"/>
  <c r="Q48" i="37"/>
  <c r="J51" i="31"/>
  <c r="S45" i="36"/>
  <c r="T45" i="36" s="1"/>
  <c r="R45" i="36" s="1"/>
  <c r="J50" i="30"/>
  <c r="X46" i="36"/>
  <c r="Y46" i="36" s="1"/>
  <c r="Z46" i="36" s="1"/>
  <c r="AD43" i="36"/>
  <c r="AC44" i="36"/>
  <c r="G49" i="36"/>
  <c r="Q48" i="36"/>
  <c r="L56" i="28"/>
  <c r="AB43" i="36"/>
  <c r="AA44" i="36"/>
  <c r="C58" i="30"/>
  <c r="C60" i="28"/>
  <c r="C59" i="25"/>
  <c r="H50" i="33"/>
  <c r="E51" i="11"/>
  <c r="F51" i="11" s="1"/>
  <c r="A53" i="11"/>
  <c r="C53" i="11" s="1"/>
  <c r="B52" i="11"/>
  <c r="C59" i="31" s="1"/>
  <c r="H52" i="11"/>
  <c r="AE52" i="11"/>
  <c r="AF52" i="11" s="1"/>
  <c r="F60" i="25" s="1"/>
  <c r="M52" i="11"/>
  <c r="N52" i="11" s="1"/>
  <c r="D52" i="11"/>
  <c r="H61" i="28" s="1"/>
  <c r="O52" i="11"/>
  <c r="D58" i="30"/>
  <c r="D60" i="28"/>
  <c r="D59" i="25"/>
  <c r="I50" i="33"/>
  <c r="J50" i="33"/>
  <c r="L57" i="31"/>
  <c r="M57" i="31"/>
  <c r="E60" i="28"/>
  <c r="E59" i="25"/>
  <c r="E58" i="30"/>
  <c r="A53" i="19"/>
  <c r="M52" i="19"/>
  <c r="AE52" i="19"/>
  <c r="AF52" i="19" s="1"/>
  <c r="G60" i="25" s="1"/>
  <c r="B52" i="19"/>
  <c r="E52" i="19"/>
  <c r="N52" i="19"/>
  <c r="O52" i="19"/>
  <c r="O53" i="19" s="1"/>
  <c r="F51" i="19"/>
  <c r="L49" i="19"/>
  <c r="G57" i="28"/>
  <c r="Q40" i="19"/>
  <c r="G41" i="19"/>
  <c r="D40" i="19"/>
  <c r="I48" i="28"/>
  <c r="I39" i="11"/>
  <c r="Q38" i="11"/>
  <c r="L44" i="11"/>
  <c r="F52" i="28"/>
  <c r="Z24" i="19"/>
  <c r="X25" i="19"/>
  <c r="Y25" i="19" s="1"/>
  <c r="W25" i="19" s="1"/>
  <c r="G31" i="31"/>
  <c r="AC24" i="19"/>
  <c r="AD24" i="19" s="1"/>
  <c r="H33" i="28"/>
  <c r="O53" i="11" l="1"/>
  <c r="E59" i="31"/>
  <c r="D59" i="31"/>
  <c r="J53" i="11"/>
  <c r="J53" i="19"/>
  <c r="U45" i="36"/>
  <c r="P49" i="36"/>
  <c r="P56" i="31"/>
  <c r="K49" i="36"/>
  <c r="K39" i="11"/>
  <c r="J48" i="28" s="1"/>
  <c r="G51" i="11"/>
  <c r="P39" i="11"/>
  <c r="N46" i="31"/>
  <c r="AC36" i="37"/>
  <c r="P41" i="19"/>
  <c r="O48" i="31"/>
  <c r="P49" i="37"/>
  <c r="Q56" i="31"/>
  <c r="K49" i="37"/>
  <c r="K41" i="19"/>
  <c r="K50" i="28" s="1"/>
  <c r="U35" i="37"/>
  <c r="I53" i="19"/>
  <c r="C53" i="19"/>
  <c r="H53" i="19"/>
  <c r="K42" i="31"/>
  <c r="S36" i="37"/>
  <c r="T36" i="37" s="1"/>
  <c r="R36" i="37" s="1"/>
  <c r="G50" i="37"/>
  <c r="Q49" i="37"/>
  <c r="W36" i="37"/>
  <c r="M57" i="28"/>
  <c r="AD36" i="37"/>
  <c r="AB34" i="37"/>
  <c r="AA35" i="37"/>
  <c r="K41" i="30"/>
  <c r="J52" i="31"/>
  <c r="S46" i="36"/>
  <c r="T46" i="36" s="1"/>
  <c r="R46" i="36" s="1"/>
  <c r="AD44" i="36"/>
  <c r="AC45" i="36"/>
  <c r="J51" i="30"/>
  <c r="AB44" i="36"/>
  <c r="AA45" i="36"/>
  <c r="L57" i="28"/>
  <c r="G50" i="36"/>
  <c r="Q49" i="36"/>
  <c r="W46" i="36"/>
  <c r="H51" i="33"/>
  <c r="C60" i="25"/>
  <c r="C61" i="28"/>
  <c r="C59" i="30"/>
  <c r="E52" i="11"/>
  <c r="F52" i="11" s="1"/>
  <c r="A54" i="11"/>
  <c r="C54" i="11" s="1"/>
  <c r="B53" i="11"/>
  <c r="C60" i="31" s="1"/>
  <c r="H53" i="11"/>
  <c r="D53" i="11"/>
  <c r="H62" i="28" s="1"/>
  <c r="AE53" i="11"/>
  <c r="AF53" i="11" s="1"/>
  <c r="F61" i="25" s="1"/>
  <c r="M53" i="11"/>
  <c r="N53" i="11" s="1"/>
  <c r="V53" i="11"/>
  <c r="D60" i="25"/>
  <c r="D59" i="30"/>
  <c r="D61" i="28"/>
  <c r="I51" i="33"/>
  <c r="J51" i="33"/>
  <c r="Q39" i="11"/>
  <c r="E61" i="28"/>
  <c r="E59" i="30"/>
  <c r="E60" i="25"/>
  <c r="M58" i="31"/>
  <c r="L58" i="31"/>
  <c r="A54" i="19"/>
  <c r="AE53" i="19"/>
  <c r="AF53" i="19" s="1"/>
  <c r="G61" i="25" s="1"/>
  <c r="B53" i="19"/>
  <c r="M53" i="19"/>
  <c r="N53" i="19" s="1"/>
  <c r="E53" i="19"/>
  <c r="F52" i="19"/>
  <c r="V53" i="19"/>
  <c r="V54" i="19" s="1"/>
  <c r="D41" i="19"/>
  <c r="I49" i="28"/>
  <c r="L50" i="19"/>
  <c r="G58" i="28"/>
  <c r="Q41" i="19"/>
  <c r="G42" i="19"/>
  <c r="I40" i="11"/>
  <c r="L45" i="11"/>
  <c r="F53" i="28"/>
  <c r="Z25" i="19"/>
  <c r="X26" i="19"/>
  <c r="Y26" i="19" s="1"/>
  <c r="W26" i="19" s="1"/>
  <c r="G32" i="31"/>
  <c r="AC25" i="19"/>
  <c r="AD25" i="19" s="1"/>
  <c r="L23" i="33"/>
  <c r="G31" i="30"/>
  <c r="H34" i="28"/>
  <c r="V54" i="11" l="1"/>
  <c r="D60" i="31"/>
  <c r="E60" i="31"/>
  <c r="J54" i="19"/>
  <c r="J54" i="11"/>
  <c r="G52" i="11"/>
  <c r="N47" i="31"/>
  <c r="P40" i="11"/>
  <c r="P50" i="36"/>
  <c r="Q50" i="36" s="1"/>
  <c r="P57" i="31"/>
  <c r="K40" i="11"/>
  <c r="J49" i="28" s="1"/>
  <c r="U46" i="36"/>
  <c r="K50" i="36"/>
  <c r="U36" i="37"/>
  <c r="K42" i="19"/>
  <c r="P42" i="19"/>
  <c r="O49" i="31"/>
  <c r="P50" i="37"/>
  <c r="Q57" i="31"/>
  <c r="K50" i="37"/>
  <c r="H54" i="19"/>
  <c r="O54" i="19"/>
  <c r="C54" i="19"/>
  <c r="K43" i="31"/>
  <c r="S37" i="37"/>
  <c r="T37" i="37" s="1"/>
  <c r="R37" i="37" s="1"/>
  <c r="AB35" i="37"/>
  <c r="AA36" i="37"/>
  <c r="M58" i="28"/>
  <c r="G51" i="37"/>
  <c r="Q50" i="37"/>
  <c r="K42" i="30"/>
  <c r="X37" i="37"/>
  <c r="Y37" i="37" s="1"/>
  <c r="X47" i="36"/>
  <c r="Y47" i="36" s="1"/>
  <c r="Z47" i="36" s="1"/>
  <c r="L58" i="28"/>
  <c r="J52" i="30"/>
  <c r="G51" i="36"/>
  <c r="AB45" i="36"/>
  <c r="AA46" i="36"/>
  <c r="AD45" i="36"/>
  <c r="AC46" i="36"/>
  <c r="J53" i="31"/>
  <c r="S47" i="36"/>
  <c r="T47" i="36" s="1"/>
  <c r="R47" i="36" s="1"/>
  <c r="H52" i="33"/>
  <c r="C61" i="25"/>
  <c r="C60" i="30"/>
  <c r="C62" i="28"/>
  <c r="E53" i="11"/>
  <c r="F53" i="11" s="1"/>
  <c r="B54" i="11"/>
  <c r="C61" i="31" s="1"/>
  <c r="H54" i="11"/>
  <c r="M54" i="11"/>
  <c r="N54" i="11" s="1"/>
  <c r="D54" i="11"/>
  <c r="H63" i="28" s="1"/>
  <c r="AE54" i="11"/>
  <c r="AF54" i="11" s="1"/>
  <c r="F62" i="25" s="1"/>
  <c r="A55" i="11"/>
  <c r="C55" i="11" s="1"/>
  <c r="O54" i="11"/>
  <c r="D62" i="28"/>
  <c r="D61" i="25"/>
  <c r="D60" i="30"/>
  <c r="I52" i="33"/>
  <c r="J52" i="33"/>
  <c r="K51" i="28"/>
  <c r="F53" i="19"/>
  <c r="E60" i="30"/>
  <c r="E62" i="28"/>
  <c r="E61" i="25"/>
  <c r="L59" i="31"/>
  <c r="M59" i="31"/>
  <c r="A55" i="19"/>
  <c r="C55" i="19" s="1"/>
  <c r="B54" i="19"/>
  <c r="AE54" i="19"/>
  <c r="AF54" i="19" s="1"/>
  <c r="G62" i="25" s="1"/>
  <c r="M54" i="19"/>
  <c r="N54" i="19" s="1"/>
  <c r="E54" i="19"/>
  <c r="I54" i="19"/>
  <c r="L51" i="19"/>
  <c r="G59" i="28"/>
  <c r="D42" i="19"/>
  <c r="I50" i="28"/>
  <c r="Q42" i="19"/>
  <c r="G43" i="19"/>
  <c r="F54" i="28"/>
  <c r="L46" i="11"/>
  <c r="I41" i="11"/>
  <c r="Q40" i="11"/>
  <c r="Z26" i="19"/>
  <c r="AC26" i="19"/>
  <c r="AD26" i="19" s="1"/>
  <c r="L24" i="33"/>
  <c r="X27" i="19"/>
  <c r="Y27" i="19" s="1"/>
  <c r="W27" i="19" s="1"/>
  <c r="G33" i="31"/>
  <c r="G32" i="30"/>
  <c r="H35" i="28"/>
  <c r="I55" i="19" l="1"/>
  <c r="D61" i="31"/>
  <c r="E61" i="31"/>
  <c r="J55" i="11"/>
  <c r="J55" i="19"/>
  <c r="W47" i="36"/>
  <c r="P51" i="36"/>
  <c r="P58" i="31"/>
  <c r="K41" i="11"/>
  <c r="J50" i="28" s="1"/>
  <c r="G53" i="11"/>
  <c r="N48" i="31"/>
  <c r="P41" i="11"/>
  <c r="K51" i="36"/>
  <c r="U47" i="36"/>
  <c r="K51" i="37"/>
  <c r="K43" i="19"/>
  <c r="K52" i="28" s="1"/>
  <c r="P43" i="19"/>
  <c r="Q43" i="19" s="1"/>
  <c r="O50" i="31"/>
  <c r="U37" i="37"/>
  <c r="P51" i="37"/>
  <c r="Q51" i="37" s="1"/>
  <c r="Q58" i="31"/>
  <c r="H55" i="19"/>
  <c r="K44" i="31"/>
  <c r="S38" i="37"/>
  <c r="T38" i="37" s="1"/>
  <c r="R38" i="37" s="1"/>
  <c r="M59" i="28"/>
  <c r="Z37" i="37"/>
  <c r="AC37" i="37"/>
  <c r="W37" i="37"/>
  <c r="AB36" i="37"/>
  <c r="AA37" i="37"/>
  <c r="K43" i="30"/>
  <c r="G52" i="37"/>
  <c r="J54" i="31"/>
  <c r="S48" i="36"/>
  <c r="T48" i="36" s="1"/>
  <c r="R48" i="36" s="1"/>
  <c r="AB46" i="36"/>
  <c r="AA47" i="36"/>
  <c r="G52" i="36"/>
  <c r="Q51" i="36"/>
  <c r="L59" i="28"/>
  <c r="AD46" i="36"/>
  <c r="AC47" i="36"/>
  <c r="J53" i="30"/>
  <c r="X48" i="36"/>
  <c r="Y48" i="36" s="1"/>
  <c r="W48" i="36" s="1"/>
  <c r="B55" i="11"/>
  <c r="H55" i="11"/>
  <c r="AE55" i="11"/>
  <c r="AF55" i="11" s="1"/>
  <c r="F63" i="25" s="1"/>
  <c r="M55" i="11"/>
  <c r="N55" i="11" s="1"/>
  <c r="D55" i="11"/>
  <c r="H64" i="28" s="1"/>
  <c r="O55" i="11"/>
  <c r="C61" i="30"/>
  <c r="C63" i="28"/>
  <c r="C62" i="25"/>
  <c r="H53" i="33"/>
  <c r="E54" i="11"/>
  <c r="F54" i="11" s="1"/>
  <c r="V55" i="11"/>
  <c r="D63" i="28"/>
  <c r="D62" i="25"/>
  <c r="D61" i="30"/>
  <c r="I53" i="33"/>
  <c r="J53" i="33"/>
  <c r="E61" i="30"/>
  <c r="E63" i="28"/>
  <c r="E62" i="25"/>
  <c r="F54" i="19"/>
  <c r="M55" i="19"/>
  <c r="N55" i="19" s="1"/>
  <c r="B55" i="19"/>
  <c r="AE55" i="19"/>
  <c r="AF55" i="19" s="1"/>
  <c r="G63" i="25" s="1"/>
  <c r="E55" i="19"/>
  <c r="L60" i="31"/>
  <c r="M60" i="31"/>
  <c r="V55" i="19"/>
  <c r="O55" i="19"/>
  <c r="D43" i="19"/>
  <c r="I51" i="28"/>
  <c r="L52" i="19"/>
  <c r="G60" i="28"/>
  <c r="G44" i="19"/>
  <c r="L47" i="11"/>
  <c r="F55" i="28"/>
  <c r="I42" i="11"/>
  <c r="Q41" i="11"/>
  <c r="Z27" i="19"/>
  <c r="G33" i="30"/>
  <c r="AC27" i="19"/>
  <c r="AD27" i="19" s="1"/>
  <c r="L25" i="33"/>
  <c r="H36" i="28"/>
  <c r="U48" i="36" l="1"/>
  <c r="P52" i="36"/>
  <c r="P59" i="31"/>
  <c r="K42" i="11"/>
  <c r="J51" i="28" s="1"/>
  <c r="G54" i="11"/>
  <c r="N49" i="31"/>
  <c r="P42" i="11"/>
  <c r="K52" i="36"/>
  <c r="U38" i="37"/>
  <c r="K52" i="37"/>
  <c r="P44" i="19"/>
  <c r="O51" i="31"/>
  <c r="P52" i="37"/>
  <c r="Q59" i="31"/>
  <c r="K44" i="19"/>
  <c r="K53" i="28" s="1"/>
  <c r="K45" i="31"/>
  <c r="S39" i="37"/>
  <c r="T39" i="37" s="1"/>
  <c r="U39" i="37" s="1"/>
  <c r="AD37" i="37"/>
  <c r="AB37" i="37"/>
  <c r="AA38" i="37"/>
  <c r="G53" i="37"/>
  <c r="Q52" i="37"/>
  <c r="M60" i="28"/>
  <c r="K44" i="30"/>
  <c r="X38" i="37"/>
  <c r="Y38" i="37" s="1"/>
  <c r="Z38" i="37" s="1"/>
  <c r="X49" i="36"/>
  <c r="Y49" i="36" s="1"/>
  <c r="W49" i="36" s="1"/>
  <c r="J55" i="31"/>
  <c r="S49" i="36"/>
  <c r="T49" i="36" s="1"/>
  <c r="R49" i="36" s="1"/>
  <c r="J56" i="31" s="1"/>
  <c r="J54" i="30"/>
  <c r="L60" i="28"/>
  <c r="G53" i="36"/>
  <c r="Q52" i="36"/>
  <c r="Z48" i="36"/>
  <c r="AB47" i="36"/>
  <c r="AA48" i="36"/>
  <c r="AD47" i="36"/>
  <c r="AC48" i="36"/>
  <c r="C62" i="31"/>
  <c r="H54" i="33"/>
  <c r="C63" i="25"/>
  <c r="C62" i="30"/>
  <c r="C64" i="28"/>
  <c r="E55" i="11"/>
  <c r="F55" i="11" s="1"/>
  <c r="D62" i="30"/>
  <c r="D62" i="31"/>
  <c r="D63" i="25"/>
  <c r="D64" i="28"/>
  <c r="I54" i="33"/>
  <c r="J54" i="33"/>
  <c r="Q42" i="11"/>
  <c r="F55" i="19"/>
  <c r="M61" i="31"/>
  <c r="L61" i="31"/>
  <c r="E64" i="28"/>
  <c r="E63" i="25"/>
  <c r="E62" i="30"/>
  <c r="E62" i="31"/>
  <c r="G45" i="19"/>
  <c r="L53" i="19"/>
  <c r="G61" i="28"/>
  <c r="D44" i="19"/>
  <c r="I52" i="28"/>
  <c r="Q44" i="19"/>
  <c r="I43" i="11"/>
  <c r="L48" i="11"/>
  <c r="F56" i="28"/>
  <c r="L26" i="33"/>
  <c r="X28" i="19"/>
  <c r="Y28" i="19" s="1"/>
  <c r="W28" i="19" s="1"/>
  <c r="G34" i="31"/>
  <c r="G34" i="30"/>
  <c r="H37" i="28"/>
  <c r="K43" i="11" l="1"/>
  <c r="J52" i="28" s="1"/>
  <c r="P53" i="36"/>
  <c r="P60" i="31"/>
  <c r="G55" i="11"/>
  <c r="N50" i="31"/>
  <c r="P43" i="11"/>
  <c r="K53" i="36"/>
  <c r="Z49" i="36"/>
  <c r="U49" i="36"/>
  <c r="K45" i="19"/>
  <c r="P53" i="37"/>
  <c r="Q60" i="31"/>
  <c r="R39" i="37"/>
  <c r="K46" i="31" s="1"/>
  <c r="P45" i="19"/>
  <c r="Q45" i="19" s="1"/>
  <c r="O52" i="31"/>
  <c r="K53" i="37"/>
  <c r="S40" i="37"/>
  <c r="T40" i="37" s="1"/>
  <c r="U40" i="37" s="1"/>
  <c r="K45" i="30"/>
  <c r="AB38" i="37"/>
  <c r="AA39" i="37"/>
  <c r="W38" i="37"/>
  <c r="M61" i="28"/>
  <c r="G54" i="37"/>
  <c r="Q53" i="37"/>
  <c r="AC38" i="37"/>
  <c r="X50" i="36"/>
  <c r="Y50" i="36" s="1"/>
  <c r="W50" i="36" s="1"/>
  <c r="AD48" i="36"/>
  <c r="AC49" i="36"/>
  <c r="L61" i="28"/>
  <c r="S50" i="36"/>
  <c r="T50" i="36" s="1"/>
  <c r="R50" i="36" s="1"/>
  <c r="J57" i="31" s="1"/>
  <c r="AB48" i="36"/>
  <c r="AA49" i="36"/>
  <c r="J55" i="30"/>
  <c r="G54" i="36"/>
  <c r="Q53" i="36"/>
  <c r="K54" i="28"/>
  <c r="M62" i="31"/>
  <c r="L62" i="31"/>
  <c r="B142" i="17" s="1"/>
  <c r="D45" i="19"/>
  <c r="I53" i="28"/>
  <c r="L54" i="19"/>
  <c r="G62" i="28"/>
  <c r="G46" i="19"/>
  <c r="L49" i="11"/>
  <c r="F57" i="28"/>
  <c r="I44" i="11"/>
  <c r="Q43" i="11"/>
  <c r="Z28" i="19"/>
  <c r="AC28" i="19"/>
  <c r="AD28" i="19" s="1"/>
  <c r="H38" i="28"/>
  <c r="P54" i="36" l="1"/>
  <c r="Q54" i="36" s="1"/>
  <c r="P61" i="31"/>
  <c r="U50" i="36"/>
  <c r="K44" i="11"/>
  <c r="J53" i="28" s="1"/>
  <c r="N51" i="31"/>
  <c r="P44" i="11"/>
  <c r="Q44" i="11" s="1"/>
  <c r="K54" i="36"/>
  <c r="P46" i="19"/>
  <c r="Q46" i="19" s="1"/>
  <c r="O53" i="31"/>
  <c r="K54" i="37"/>
  <c r="P54" i="37"/>
  <c r="Q54" i="37" s="1"/>
  <c r="Q55" i="37" s="1"/>
  <c r="Q61" i="31"/>
  <c r="C146" i="17" s="1"/>
  <c r="K46" i="19"/>
  <c r="R40" i="37"/>
  <c r="K47" i="31" s="1"/>
  <c r="S41" i="37"/>
  <c r="T41" i="37" s="1"/>
  <c r="U41" i="37" s="1"/>
  <c r="K46" i="30"/>
  <c r="X39" i="37"/>
  <c r="Y39" i="37" s="1"/>
  <c r="Z39" i="37" s="1"/>
  <c r="G55" i="37"/>
  <c r="P55" i="37" s="1"/>
  <c r="AB39" i="37"/>
  <c r="AA40" i="37"/>
  <c r="AD38" i="37"/>
  <c r="M62" i="28"/>
  <c r="S51" i="36"/>
  <c r="T51" i="36" s="1"/>
  <c r="R51" i="36" s="1"/>
  <c r="J58" i="31" s="1"/>
  <c r="X51" i="36"/>
  <c r="Y51" i="36" s="1"/>
  <c r="W51" i="36" s="1"/>
  <c r="J56" i="30"/>
  <c r="L62" i="28"/>
  <c r="G55" i="36"/>
  <c r="AB49" i="36"/>
  <c r="AA50" i="36"/>
  <c r="Z50" i="36"/>
  <c r="AD49" i="36"/>
  <c r="AC50" i="36"/>
  <c r="L55" i="19"/>
  <c r="G64" i="28" s="1"/>
  <c r="G63" i="28"/>
  <c r="G47" i="19"/>
  <c r="D46" i="19"/>
  <c r="I54" i="28"/>
  <c r="L50" i="11"/>
  <c r="F58" i="28"/>
  <c r="I45" i="11"/>
  <c r="G35" i="30"/>
  <c r="X29" i="19"/>
  <c r="Y29" i="19" s="1"/>
  <c r="W29" i="19" s="1"/>
  <c r="G35" i="31"/>
  <c r="L27" i="33"/>
  <c r="H39" i="28"/>
  <c r="Z51" i="36" l="1"/>
  <c r="K55" i="36"/>
  <c r="AC39" i="37"/>
  <c r="AD39" i="37" s="1"/>
  <c r="P45" i="11"/>
  <c r="N52" i="31"/>
  <c r="P55" i="36"/>
  <c r="Q55" i="36" s="1"/>
  <c r="P62" i="31"/>
  <c r="B146" i="17" s="1"/>
  <c r="U51" i="36"/>
  <c r="K45" i="11"/>
  <c r="K47" i="19"/>
  <c r="K56" i="28" s="1"/>
  <c r="W39" i="37"/>
  <c r="X40" i="37" s="1"/>
  <c r="Y40" i="37" s="1"/>
  <c r="R41" i="37"/>
  <c r="K55" i="37"/>
  <c r="P47" i="19"/>
  <c r="Q47" i="19" s="1"/>
  <c r="O54" i="31"/>
  <c r="K55" i="28"/>
  <c r="M63" i="28"/>
  <c r="AB40" i="37"/>
  <c r="AA41" i="37"/>
  <c r="K47" i="30"/>
  <c r="J57" i="30"/>
  <c r="AB50" i="36"/>
  <c r="AA51" i="36"/>
  <c r="S52" i="36"/>
  <c r="T52" i="36" s="1"/>
  <c r="R52" i="36" s="1"/>
  <c r="J59" i="31" s="1"/>
  <c r="AD50" i="36"/>
  <c r="AC51" i="36"/>
  <c r="L63" i="28"/>
  <c r="X52" i="36"/>
  <c r="Y52" i="36" s="1"/>
  <c r="Z52" i="36" s="1"/>
  <c r="Q45" i="11"/>
  <c r="G48" i="19"/>
  <c r="D47" i="19"/>
  <c r="I55" i="28"/>
  <c r="I46" i="11"/>
  <c r="L51" i="11"/>
  <c r="F59" i="28"/>
  <c r="Z29" i="19"/>
  <c r="AC29" i="19"/>
  <c r="AD29" i="19" s="1"/>
  <c r="H40" i="28"/>
  <c r="AC40" i="37" l="1"/>
  <c r="AD40" i="37" s="1"/>
  <c r="W40" i="37"/>
  <c r="U52" i="36"/>
  <c r="N53" i="31"/>
  <c r="P46" i="11"/>
  <c r="K46" i="11"/>
  <c r="Z40" i="37"/>
  <c r="S42" i="37"/>
  <c r="T42" i="37" s="1"/>
  <c r="U42" i="37" s="1"/>
  <c r="P48" i="19"/>
  <c r="Q48" i="19" s="1"/>
  <c r="O55" i="31"/>
  <c r="K48" i="31"/>
  <c r="K48" i="19"/>
  <c r="J54" i="28"/>
  <c r="X41" i="37"/>
  <c r="Y41" i="37" s="1"/>
  <c r="W41" i="37" s="1"/>
  <c r="M64" i="28"/>
  <c r="AB41" i="37"/>
  <c r="K48" i="30"/>
  <c r="L64" i="28"/>
  <c r="S53" i="36"/>
  <c r="T53" i="36" s="1"/>
  <c r="R53" i="36" s="1"/>
  <c r="J60" i="31" s="1"/>
  <c r="J58" i="30"/>
  <c r="AD51" i="36"/>
  <c r="AC52" i="36"/>
  <c r="W52" i="36"/>
  <c r="AB51" i="36"/>
  <c r="AA52" i="36"/>
  <c r="D48" i="19"/>
  <c r="I56" i="28"/>
  <c r="G49" i="19"/>
  <c r="L52" i="11"/>
  <c r="F60" i="28"/>
  <c r="I47" i="11"/>
  <c r="Q46" i="11"/>
  <c r="L28" i="33"/>
  <c r="G36" i="30"/>
  <c r="X30" i="19"/>
  <c r="Y30" i="19" s="1"/>
  <c r="Z30" i="19" s="1"/>
  <c r="G36" i="31"/>
  <c r="H41" i="28"/>
  <c r="AA42" i="37" l="1"/>
  <c r="K47" i="11"/>
  <c r="J56" i="28" s="1"/>
  <c r="U53" i="36"/>
  <c r="N54" i="31"/>
  <c r="P47" i="11"/>
  <c r="J55" i="28"/>
  <c r="Z41" i="37"/>
  <c r="AC41" i="37"/>
  <c r="AD41" i="37" s="1"/>
  <c r="K49" i="19"/>
  <c r="K58" i="28" s="1"/>
  <c r="P49" i="19"/>
  <c r="Q49" i="19" s="1"/>
  <c r="O56" i="31"/>
  <c r="R42" i="37"/>
  <c r="K57" i="28"/>
  <c r="X42" i="37"/>
  <c r="Y42" i="37" s="1"/>
  <c r="K49" i="30"/>
  <c r="AB42" i="37"/>
  <c r="AB52" i="36"/>
  <c r="AA53" i="36"/>
  <c r="X53" i="36"/>
  <c r="Y53" i="36" s="1"/>
  <c r="Z53" i="36" s="1"/>
  <c r="S54" i="36"/>
  <c r="T54" i="36" s="1"/>
  <c r="R54" i="36" s="1"/>
  <c r="J61" i="31" s="1"/>
  <c r="Q47" i="11"/>
  <c r="AD52" i="36"/>
  <c r="J59" i="30"/>
  <c r="G50" i="19"/>
  <c r="D49" i="19"/>
  <c r="I57" i="28"/>
  <c r="L53" i="11"/>
  <c r="F61" i="28"/>
  <c r="I48" i="11"/>
  <c r="AC30" i="19"/>
  <c r="W30" i="19"/>
  <c r="G37" i="30"/>
  <c r="H42" i="28"/>
  <c r="Z42" i="37" l="1"/>
  <c r="N55" i="31"/>
  <c r="P48" i="11"/>
  <c r="K48" i="11"/>
  <c r="J57" i="28" s="1"/>
  <c r="U54" i="36"/>
  <c r="AC42" i="37"/>
  <c r="AD42" i="37" s="1"/>
  <c r="W42" i="37"/>
  <c r="X43" i="37" s="1"/>
  <c r="Y43" i="37" s="1"/>
  <c r="Z43" i="37" s="1"/>
  <c r="K49" i="31"/>
  <c r="S43" i="37"/>
  <c r="T43" i="37" s="1"/>
  <c r="R43" i="37" s="1"/>
  <c r="K50" i="19"/>
  <c r="K59" i="28" s="1"/>
  <c r="P50" i="19"/>
  <c r="Q50" i="19" s="1"/>
  <c r="O57" i="31"/>
  <c r="S55" i="36"/>
  <c r="T55" i="36" s="1"/>
  <c r="R55" i="36" s="1"/>
  <c r="J62" i="31" s="1"/>
  <c r="B160" i="17" s="1"/>
  <c r="J60" i="30"/>
  <c r="AB53" i="36"/>
  <c r="AA54" i="36"/>
  <c r="AC53" i="36"/>
  <c r="W53" i="36"/>
  <c r="D50" i="19"/>
  <c r="I58" i="28"/>
  <c r="G51" i="19"/>
  <c r="I49" i="11"/>
  <c r="Q48" i="11"/>
  <c r="L54" i="11"/>
  <c r="F62" i="28"/>
  <c r="X31" i="19"/>
  <c r="Y31" i="19" s="1"/>
  <c r="Z31" i="19" s="1"/>
  <c r="AD30" i="19"/>
  <c r="L29" i="33" s="1"/>
  <c r="G37" i="31"/>
  <c r="H43" i="28"/>
  <c r="N56" i="31" l="1"/>
  <c r="P49" i="11"/>
  <c r="U55" i="36"/>
  <c r="J62" i="30" s="1"/>
  <c r="B153" i="17" s="1"/>
  <c r="K49" i="11"/>
  <c r="J58" i="28" s="1"/>
  <c r="AC43" i="37"/>
  <c r="S44" i="37"/>
  <c r="T44" i="37" s="1"/>
  <c r="R44" i="37" s="1"/>
  <c r="K50" i="31"/>
  <c r="U43" i="37"/>
  <c r="AA43" i="37"/>
  <c r="P51" i="19"/>
  <c r="O58" i="31"/>
  <c r="K51" i="19"/>
  <c r="W43" i="37"/>
  <c r="AD43" i="37"/>
  <c r="J61" i="30"/>
  <c r="AB54" i="36"/>
  <c r="AA55" i="36"/>
  <c r="AB55" i="36" s="1"/>
  <c r="X54" i="36"/>
  <c r="Y54" i="36" s="1"/>
  <c r="Z54" i="36" s="1"/>
  <c r="AD53" i="36"/>
  <c r="AC31" i="19"/>
  <c r="AD31" i="19" s="1"/>
  <c r="L30" i="33" s="1"/>
  <c r="D51" i="19"/>
  <c r="I59" i="28"/>
  <c r="Q51" i="19"/>
  <c r="G52" i="19"/>
  <c r="I50" i="11"/>
  <c r="Q49" i="11"/>
  <c r="L55" i="11"/>
  <c r="F64" i="28" s="1"/>
  <c r="F63" i="28"/>
  <c r="G38" i="30"/>
  <c r="W31" i="19"/>
  <c r="H44" i="28"/>
  <c r="AC54" i="36" l="1"/>
  <c r="AD54" i="36" s="1"/>
  <c r="K50" i="11"/>
  <c r="J59" i="28" s="1"/>
  <c r="N57" i="31"/>
  <c r="P50" i="11"/>
  <c r="Q50" i="11" s="1"/>
  <c r="S45" i="37"/>
  <c r="T45" i="37" s="1"/>
  <c r="R45" i="37" s="1"/>
  <c r="K51" i="31"/>
  <c r="K52" i="19"/>
  <c r="U44" i="37"/>
  <c r="K50" i="30"/>
  <c r="P52" i="19"/>
  <c r="O59" i="31"/>
  <c r="K60" i="28"/>
  <c r="AB43" i="37"/>
  <c r="AA44" i="37"/>
  <c r="K61" i="28"/>
  <c r="Q52" i="19"/>
  <c r="X44" i="37"/>
  <c r="Y44" i="37" s="1"/>
  <c r="W44" i="37" s="1"/>
  <c r="W54" i="36"/>
  <c r="D52" i="19"/>
  <c r="I60" i="28"/>
  <c r="G53" i="19"/>
  <c r="I51" i="11"/>
  <c r="X32" i="19"/>
  <c r="Y32" i="19" s="1"/>
  <c r="G38" i="31"/>
  <c r="H45" i="28"/>
  <c r="N58" i="31" l="1"/>
  <c r="P51" i="11"/>
  <c r="Q51" i="11" s="1"/>
  <c r="K51" i="11"/>
  <c r="J60" i="28" s="1"/>
  <c r="K52" i="31"/>
  <c r="S46" i="37"/>
  <c r="T46" i="37" s="1"/>
  <c r="R46" i="37" s="1"/>
  <c r="K53" i="19"/>
  <c r="AB44" i="37"/>
  <c r="AA45" i="37"/>
  <c r="P53" i="19"/>
  <c r="Q53" i="19" s="1"/>
  <c r="O60" i="31"/>
  <c r="U45" i="37"/>
  <c r="K51" i="30"/>
  <c r="X45" i="37"/>
  <c r="Y45" i="37" s="1"/>
  <c r="W45" i="37" s="1"/>
  <c r="Z44" i="37"/>
  <c r="AC44" i="37"/>
  <c r="X55" i="36"/>
  <c r="Y55" i="36" s="1"/>
  <c r="D53" i="19"/>
  <c r="I61" i="28"/>
  <c r="G54" i="19"/>
  <c r="I52" i="11"/>
  <c r="Z32" i="19"/>
  <c r="AC32" i="19"/>
  <c r="W32" i="19"/>
  <c r="H46" i="28"/>
  <c r="N59" i="31" l="1"/>
  <c r="P52" i="11"/>
  <c r="Q52" i="11" s="1"/>
  <c r="K52" i="11"/>
  <c r="Z45" i="37"/>
  <c r="S47" i="37"/>
  <c r="T47" i="37" s="1"/>
  <c r="R47" i="37" s="1"/>
  <c r="K53" i="31"/>
  <c r="K54" i="19"/>
  <c r="K63" i="28" s="1"/>
  <c r="K62" i="28"/>
  <c r="AB45" i="37"/>
  <c r="AA46" i="37"/>
  <c r="P54" i="19"/>
  <c r="Q54" i="19" s="1"/>
  <c r="O61" i="31"/>
  <c r="U46" i="37"/>
  <c r="K52" i="30"/>
  <c r="X46" i="37"/>
  <c r="Y46" i="37" s="1"/>
  <c r="W46" i="37" s="1"/>
  <c r="AD44" i="37"/>
  <c r="AC45" i="37"/>
  <c r="Z55" i="36"/>
  <c r="AC55" i="36"/>
  <c r="AD55" i="36" s="1"/>
  <c r="W55" i="36"/>
  <c r="G55" i="19"/>
  <c r="P55" i="19" s="1"/>
  <c r="D54" i="19"/>
  <c r="I62" i="28"/>
  <c r="I53" i="11"/>
  <c r="G39" i="31"/>
  <c r="X33" i="19"/>
  <c r="Y33" i="19" s="1"/>
  <c r="W33" i="19" s="1"/>
  <c r="AD32" i="19"/>
  <c r="L31" i="33" s="1"/>
  <c r="G39" i="30"/>
  <c r="H47" i="28"/>
  <c r="K53" i="11" l="1"/>
  <c r="N60" i="31"/>
  <c r="P53" i="11"/>
  <c r="J61" i="28"/>
  <c r="K54" i="31"/>
  <c r="S48" i="37"/>
  <c r="T48" i="37" s="1"/>
  <c r="R48" i="37" s="1"/>
  <c r="K55" i="19"/>
  <c r="K64" i="28" s="1"/>
  <c r="AB46" i="37"/>
  <c r="AA47" i="37"/>
  <c r="U47" i="37"/>
  <c r="K53" i="30"/>
  <c r="Z46" i="37"/>
  <c r="O62" i="31"/>
  <c r="C144" i="17" s="1"/>
  <c r="X47" i="37"/>
  <c r="Y47" i="37" s="1"/>
  <c r="W47" i="37" s="1"/>
  <c r="AD45" i="37"/>
  <c r="AC46" i="37"/>
  <c r="J62" i="28"/>
  <c r="Q55" i="19"/>
  <c r="C142" i="17"/>
  <c r="D55" i="19"/>
  <c r="I64" i="28" s="1"/>
  <c r="I63" i="28"/>
  <c r="I54" i="11"/>
  <c r="Q53" i="11"/>
  <c r="X34" i="19"/>
  <c r="Y34" i="19" s="1"/>
  <c r="W34" i="19" s="1"/>
  <c r="G40" i="31"/>
  <c r="Z33" i="19"/>
  <c r="AC33" i="19"/>
  <c r="H48" i="28"/>
  <c r="N61" i="31" l="1"/>
  <c r="P54" i="11"/>
  <c r="Q54" i="11" s="1"/>
  <c r="K54" i="11"/>
  <c r="K55" i="31"/>
  <c r="S49" i="37"/>
  <c r="T49" i="37" s="1"/>
  <c r="R49" i="37" s="1"/>
  <c r="K56" i="31" s="1"/>
  <c r="U48" i="37"/>
  <c r="K54" i="30"/>
  <c r="AA48" i="37"/>
  <c r="AB47" i="37"/>
  <c r="X48" i="37"/>
  <c r="Y48" i="37" s="1"/>
  <c r="W48" i="37" s="1"/>
  <c r="AD46" i="37"/>
  <c r="AC47" i="37"/>
  <c r="Z47" i="37"/>
  <c r="I55" i="11"/>
  <c r="P55" i="11" s="1"/>
  <c r="X35" i="19"/>
  <c r="Y35" i="19" s="1"/>
  <c r="W35" i="19" s="1"/>
  <c r="G41" i="31"/>
  <c r="Z34" i="19"/>
  <c r="G40" i="30"/>
  <c r="AD33" i="19"/>
  <c r="L32" i="33" s="1"/>
  <c r="AC34" i="19"/>
  <c r="H49" i="28"/>
  <c r="K55" i="11" l="1"/>
  <c r="J64" i="28" s="1"/>
  <c r="J63" i="28"/>
  <c r="S50" i="37"/>
  <c r="T50" i="37" s="1"/>
  <c r="R50" i="37" s="1"/>
  <c r="K57" i="31" s="1"/>
  <c r="U49" i="37"/>
  <c r="K55" i="30"/>
  <c r="AB48" i="37"/>
  <c r="AA49" i="37"/>
  <c r="X49" i="37"/>
  <c r="Y49" i="37" s="1"/>
  <c r="W49" i="37" s="1"/>
  <c r="Z48" i="37"/>
  <c r="AD47" i="37"/>
  <c r="AC48" i="37"/>
  <c r="N62" i="31"/>
  <c r="B144" i="17" s="1"/>
  <c r="Q55" i="11"/>
  <c r="G42" i="31"/>
  <c r="X36" i="19"/>
  <c r="Y36" i="19" s="1"/>
  <c r="W36" i="19" s="1"/>
  <c r="AD34" i="19"/>
  <c r="L33" i="33" s="1"/>
  <c r="AC35" i="19"/>
  <c r="Z35" i="19"/>
  <c r="G41" i="30"/>
  <c r="H50" i="28"/>
  <c r="C160" i="17" l="1"/>
  <c r="S51" i="37"/>
  <c r="T51" i="37" s="1"/>
  <c r="R51" i="37" s="1"/>
  <c r="K58" i="31" s="1"/>
  <c r="U50" i="37"/>
  <c r="K56" i="30"/>
  <c r="AB49" i="37"/>
  <c r="AA50" i="37"/>
  <c r="Z49" i="37"/>
  <c r="W50" i="37"/>
  <c r="X50" i="37"/>
  <c r="Y50" i="37" s="1"/>
  <c r="AD48" i="37"/>
  <c r="AC49" i="37"/>
  <c r="G43" i="31"/>
  <c r="X37" i="19"/>
  <c r="Y37" i="19" s="1"/>
  <c r="W37" i="19" s="1"/>
  <c r="AD35" i="19"/>
  <c r="L34" i="33" s="1"/>
  <c r="AC36" i="19"/>
  <c r="Z36" i="19"/>
  <c r="G42" i="30"/>
  <c r="H51" i="28"/>
  <c r="Z50" i="37" l="1"/>
  <c r="S52" i="37"/>
  <c r="T52" i="37" s="1"/>
  <c r="R52" i="37" s="1"/>
  <c r="K59" i="31" s="1"/>
  <c r="U51" i="37"/>
  <c r="K57" i="30"/>
  <c r="AA51" i="37"/>
  <c r="AB50" i="37"/>
  <c r="X51" i="37"/>
  <c r="Y51" i="37" s="1"/>
  <c r="W51" i="37" s="1"/>
  <c r="AD49" i="37"/>
  <c r="AC50" i="37"/>
  <c r="AD36" i="19"/>
  <c r="L35" i="33" s="1"/>
  <c r="AC37" i="19"/>
  <c r="Z37" i="19"/>
  <c r="G43" i="30"/>
  <c r="X38" i="19"/>
  <c r="Y38" i="19" s="1"/>
  <c r="W38" i="19" s="1"/>
  <c r="G44" i="31"/>
  <c r="H52" i="28"/>
  <c r="T6" i="19"/>
  <c r="Z51" i="37" l="1"/>
  <c r="R6" i="19"/>
  <c r="U6" i="19"/>
  <c r="S53" i="37"/>
  <c r="T53" i="37" s="1"/>
  <c r="R53" i="37" s="1"/>
  <c r="K60" i="31" s="1"/>
  <c r="U52" i="37"/>
  <c r="K58" i="30"/>
  <c r="AB51" i="37"/>
  <c r="AA52" i="37"/>
  <c r="X52" i="37"/>
  <c r="Y52" i="37" s="1"/>
  <c r="W52" i="37" s="1"/>
  <c r="AD50" i="37"/>
  <c r="AC51" i="37"/>
  <c r="AA6" i="19"/>
  <c r="AB6" i="19" s="1"/>
  <c r="N5" i="33" s="1"/>
  <c r="G45" i="31"/>
  <c r="X39" i="19"/>
  <c r="Y39" i="19" s="1"/>
  <c r="W39" i="19" s="1"/>
  <c r="Z38" i="19"/>
  <c r="G44" i="30"/>
  <c r="AD37" i="19"/>
  <c r="L36" i="33" s="1"/>
  <c r="AC38" i="19"/>
  <c r="H53" i="28"/>
  <c r="H54" i="28"/>
  <c r="S54" i="37" l="1"/>
  <c r="T54" i="37" s="1"/>
  <c r="R54" i="37" s="1"/>
  <c r="K61" i="31" s="1"/>
  <c r="U53" i="37"/>
  <c r="K59" i="30"/>
  <c r="AB52" i="37"/>
  <c r="AA53" i="37"/>
  <c r="X53" i="37"/>
  <c r="Y53" i="37" s="1"/>
  <c r="W53" i="37" s="1"/>
  <c r="AD51" i="37"/>
  <c r="AC52" i="37"/>
  <c r="Z52" i="37"/>
  <c r="Z53" i="37" s="1"/>
  <c r="Z39" i="19"/>
  <c r="G45" i="30"/>
  <c r="AD38" i="19"/>
  <c r="L37" i="33" s="1"/>
  <c r="AC39" i="19"/>
  <c r="G46" i="31"/>
  <c r="X40" i="19"/>
  <c r="Y40" i="19" s="1"/>
  <c r="I13" i="31"/>
  <c r="S7" i="19"/>
  <c r="T7" i="19" s="1"/>
  <c r="R7" i="19" l="1"/>
  <c r="S8" i="19" s="1"/>
  <c r="U7" i="19"/>
  <c r="I14" i="30" s="1"/>
  <c r="R55" i="37"/>
  <c r="S55" i="37"/>
  <c r="T55" i="37" s="1"/>
  <c r="U54" i="37"/>
  <c r="K60" i="30"/>
  <c r="AB53" i="37"/>
  <c r="AA54" i="37"/>
  <c r="I13" i="30"/>
  <c r="AD52" i="37"/>
  <c r="AC53" i="37"/>
  <c r="X54" i="37"/>
  <c r="Y54" i="37" s="1"/>
  <c r="Z54" i="37" s="1"/>
  <c r="AA7" i="19"/>
  <c r="AB7" i="19" s="1"/>
  <c r="N6" i="33" s="1"/>
  <c r="W40" i="19"/>
  <c r="Z40" i="19"/>
  <c r="G46" i="30"/>
  <c r="AD39" i="19"/>
  <c r="L38" i="33" s="1"/>
  <c r="AC40" i="19"/>
  <c r="W54" i="37" l="1"/>
  <c r="U55" i="37"/>
  <c r="K62" i="30" s="1"/>
  <c r="C153" i="17" s="1"/>
  <c r="K61" i="30"/>
  <c r="AB54" i="37"/>
  <c r="AA55" i="37"/>
  <c r="AB55" i="37" s="1"/>
  <c r="X55" i="37"/>
  <c r="Y55" i="37" s="1"/>
  <c r="Z55" i="37" s="1"/>
  <c r="AD53" i="37"/>
  <c r="AC54" i="37"/>
  <c r="G47" i="30"/>
  <c r="AD40" i="19"/>
  <c r="L39" i="33" s="1"/>
  <c r="G47" i="31"/>
  <c r="X41" i="19"/>
  <c r="Y41" i="19" s="1"/>
  <c r="I14" i="31"/>
  <c r="T8" i="19"/>
  <c r="U8" i="19" s="1"/>
  <c r="R8" i="19" l="1"/>
  <c r="W55" i="37"/>
  <c r="AD54" i="37"/>
  <c r="AC55" i="37"/>
  <c r="AD55" i="37" s="1"/>
  <c r="AA8" i="19"/>
  <c r="W41" i="19"/>
  <c r="Z41" i="19"/>
  <c r="AC41" i="19"/>
  <c r="I15" i="30" l="1"/>
  <c r="AB8" i="19"/>
  <c r="N7" i="33" s="1"/>
  <c r="AD41" i="19"/>
  <c r="L40" i="33" s="1"/>
  <c r="G48" i="30"/>
  <c r="X42" i="19"/>
  <c r="Y42" i="19" s="1"/>
  <c r="Z42" i="19" s="1"/>
  <c r="G48" i="31"/>
  <c r="S9" i="19"/>
  <c r="T9" i="19" s="1"/>
  <c r="I15" i="31"/>
  <c r="R9" i="19" l="1"/>
  <c r="I16" i="31" s="1"/>
  <c r="U9" i="19"/>
  <c r="AA9" i="19"/>
  <c r="G49" i="30"/>
  <c r="W42" i="19"/>
  <c r="AC42" i="19"/>
  <c r="S10" i="19" l="1"/>
  <c r="T10" i="19" s="1"/>
  <c r="U10" i="19" s="1"/>
  <c r="AB9" i="19"/>
  <c r="N8" i="33" s="1"/>
  <c r="AD42" i="19"/>
  <c r="L41" i="33" s="1"/>
  <c r="X43" i="19"/>
  <c r="Y43" i="19" s="1"/>
  <c r="W43" i="19" s="1"/>
  <c r="G49" i="31"/>
  <c r="I16" i="30"/>
  <c r="R10" i="19" l="1"/>
  <c r="I17" i="31" s="1"/>
  <c r="AA10" i="19"/>
  <c r="AB10" i="19" s="1"/>
  <c r="N9" i="33" s="1"/>
  <c r="I17" i="30"/>
  <c r="Z43" i="19"/>
  <c r="X44" i="19"/>
  <c r="Y44" i="19" s="1"/>
  <c r="G50" i="31"/>
  <c r="AC43" i="19"/>
  <c r="S11" i="19" l="1"/>
  <c r="T11" i="19" s="1"/>
  <c r="W44" i="19"/>
  <c r="Z44" i="19"/>
  <c r="G50" i="30"/>
  <c r="AD43" i="19"/>
  <c r="L42" i="33" s="1"/>
  <c r="AC44" i="19"/>
  <c r="AA11" i="19" l="1"/>
  <c r="AB11" i="19" s="1"/>
  <c r="N10" i="33" s="1"/>
  <c r="U11" i="19"/>
  <c r="R11" i="19"/>
  <c r="S12" i="19" s="1"/>
  <c r="T12" i="19" s="1"/>
  <c r="R12" i="19" s="1"/>
  <c r="G51" i="30"/>
  <c r="AD44" i="19"/>
  <c r="L43" i="33" s="1"/>
  <c r="G51" i="31"/>
  <c r="X45" i="19"/>
  <c r="Y45" i="19" s="1"/>
  <c r="AC45" i="19" s="1"/>
  <c r="U12" i="19" l="1"/>
  <c r="I18" i="31"/>
  <c r="I18" i="30"/>
  <c r="S13" i="19"/>
  <c r="T13" i="19" s="1"/>
  <c r="R13" i="19" s="1"/>
  <c r="AA12" i="19"/>
  <c r="AB12" i="19" s="1"/>
  <c r="N11" i="33" s="1"/>
  <c r="AD45" i="19"/>
  <c r="L44" i="33" s="1"/>
  <c r="I19" i="31"/>
  <c r="W45" i="19"/>
  <c r="Z45" i="19"/>
  <c r="U13" i="19" l="1"/>
  <c r="I20" i="30" s="1"/>
  <c r="I19" i="30"/>
  <c r="AA13" i="19"/>
  <c r="AB13" i="19" s="1"/>
  <c r="N12" i="33" s="1"/>
  <c r="X46" i="19"/>
  <c r="Y46" i="19" s="1"/>
  <c r="W46" i="19" s="1"/>
  <c r="G52" i="31"/>
  <c r="G52" i="30"/>
  <c r="S14" i="19"/>
  <c r="T14" i="19" s="1"/>
  <c r="R14" i="19" s="1"/>
  <c r="I20" i="31"/>
  <c r="U14" i="19" l="1"/>
  <c r="I21" i="31"/>
  <c r="AA14" i="19"/>
  <c r="Z46" i="19"/>
  <c r="G53" i="30" s="1"/>
  <c r="X47" i="19"/>
  <c r="Y47" i="19" s="1"/>
  <c r="G53" i="31"/>
  <c r="AC46" i="19"/>
  <c r="AB14" i="19" l="1"/>
  <c r="N13" i="33" s="1"/>
  <c r="W47" i="19"/>
  <c r="G54" i="31" s="1"/>
  <c r="Z47" i="19"/>
  <c r="G54" i="30" s="1"/>
  <c r="AD46" i="19"/>
  <c r="L45" i="33" s="1"/>
  <c r="AC47" i="19"/>
  <c r="S15" i="19"/>
  <c r="T15" i="19" s="1"/>
  <c r="U15" i="19" s="1"/>
  <c r="I21" i="30"/>
  <c r="I22" i="30" l="1"/>
  <c r="R15" i="19"/>
  <c r="AA15" i="19"/>
  <c r="AB15" i="19" s="1"/>
  <c r="N14" i="33" s="1"/>
  <c r="X48" i="19"/>
  <c r="Y48" i="19" s="1"/>
  <c r="Z48" i="19" s="1"/>
  <c r="AD47" i="19"/>
  <c r="L46" i="33" s="1"/>
  <c r="AC48" i="19" l="1"/>
  <c r="AD48" i="19" s="1"/>
  <c r="L47" i="33" s="1"/>
  <c r="G55" i="30"/>
  <c r="W48" i="19"/>
  <c r="S16" i="19"/>
  <c r="T16" i="19" s="1"/>
  <c r="U16" i="19" s="1"/>
  <c r="I22" i="31"/>
  <c r="R16" i="19" l="1"/>
  <c r="AA16" i="19"/>
  <c r="X49" i="19"/>
  <c r="Y49" i="19" s="1"/>
  <c r="G55" i="31"/>
  <c r="AB16" i="19" l="1"/>
  <c r="N15" i="33" s="1"/>
  <c r="W49" i="19"/>
  <c r="G56" i="31" s="1"/>
  <c r="AC49" i="19"/>
  <c r="Z49" i="19"/>
  <c r="I23" i="30"/>
  <c r="S17" i="19"/>
  <c r="T17" i="19" s="1"/>
  <c r="U17" i="19" s="1"/>
  <c r="I23" i="31"/>
  <c r="R17" i="19" l="1"/>
  <c r="AA17" i="19"/>
  <c r="AB17" i="19" s="1"/>
  <c r="N16" i="33" s="1"/>
  <c r="G56" i="30"/>
  <c r="AD49" i="19"/>
  <c r="L48" i="33" s="1"/>
  <c r="X50" i="19"/>
  <c r="Y50" i="19" s="1"/>
  <c r="Z50" i="19" s="1"/>
  <c r="W50" i="19" l="1"/>
  <c r="G57" i="31" s="1"/>
  <c r="G57" i="30"/>
  <c r="AC50" i="19"/>
  <c r="I24" i="30"/>
  <c r="S18" i="19"/>
  <c r="T18" i="19" s="1"/>
  <c r="U18" i="19" s="1"/>
  <c r="I24" i="31"/>
  <c r="R18" i="19" l="1"/>
  <c r="X51" i="19"/>
  <c r="Y51" i="19" s="1"/>
  <c r="AC51" i="19" s="1"/>
  <c r="AD51" i="19" s="1"/>
  <c r="L50" i="33" s="1"/>
  <c r="AA18" i="19"/>
  <c r="AB18" i="19" s="1"/>
  <c r="AD50" i="19"/>
  <c r="L49" i="33" s="1"/>
  <c r="W51" i="19" l="1"/>
  <c r="G58" i="31" s="1"/>
  <c r="Z51" i="19"/>
  <c r="G58" i="30" s="1"/>
  <c r="I25" i="30"/>
  <c r="N17" i="33"/>
  <c r="S19" i="19"/>
  <c r="T19" i="19" s="1"/>
  <c r="U19" i="19" s="1"/>
  <c r="I25" i="31"/>
  <c r="R19" i="19" l="1"/>
  <c r="I26" i="31" s="1"/>
  <c r="X52" i="19"/>
  <c r="Y52" i="19" s="1"/>
  <c r="AA19" i="19"/>
  <c r="AB19" i="19" s="1"/>
  <c r="W52" i="19" l="1"/>
  <c r="G59" i="31" s="1"/>
  <c r="AC52" i="19"/>
  <c r="Z52" i="19"/>
  <c r="S20" i="19"/>
  <c r="T20" i="19" s="1"/>
  <c r="U20" i="19" s="1"/>
  <c r="I26" i="30"/>
  <c r="N18" i="33"/>
  <c r="AA20" i="19" l="1"/>
  <c r="AB20" i="19" s="1"/>
  <c r="N19" i="33" s="1"/>
  <c r="R20" i="19"/>
  <c r="G59" i="30"/>
  <c r="AD52" i="19"/>
  <c r="L51" i="33" s="1"/>
  <c r="X53" i="19"/>
  <c r="Y53" i="19" s="1"/>
  <c r="W53" i="19" s="1"/>
  <c r="G60" i="31" s="1"/>
  <c r="AC53" i="19" l="1"/>
  <c r="AD53" i="19" s="1"/>
  <c r="L52" i="33" s="1"/>
  <c r="Z53" i="19"/>
  <c r="X54" i="19"/>
  <c r="Y54" i="19" s="1"/>
  <c r="AC54" i="19" s="1"/>
  <c r="AD54" i="19" s="1"/>
  <c r="L53" i="33" s="1"/>
  <c r="I27" i="30"/>
  <c r="S21" i="19"/>
  <c r="T21" i="19" s="1"/>
  <c r="U21" i="19" s="1"/>
  <c r="I27" i="31"/>
  <c r="R21" i="19" l="1"/>
  <c r="Z54" i="19"/>
  <c r="G60" i="30"/>
  <c r="W54" i="19"/>
  <c r="G61" i="31" s="1"/>
  <c r="AA21" i="19"/>
  <c r="AB21" i="19" s="1"/>
  <c r="X55" i="19" l="1"/>
  <c r="Y55" i="19" s="1"/>
  <c r="AC55" i="19" s="1"/>
  <c r="AD55" i="19" s="1"/>
  <c r="L54" i="33" s="1"/>
  <c r="G61" i="30"/>
  <c r="N20" i="33"/>
  <c r="I28" i="30"/>
  <c r="S22" i="19"/>
  <c r="T22" i="19" s="1"/>
  <c r="U22" i="19" s="1"/>
  <c r="I28" i="31"/>
  <c r="R22" i="19" l="1"/>
  <c r="W55" i="19"/>
  <c r="G62" i="31" s="1"/>
  <c r="C156" i="17" s="1"/>
  <c r="Z55" i="19"/>
  <c r="G62" i="30" s="1"/>
  <c r="C149" i="17" s="1"/>
  <c r="AA22" i="19"/>
  <c r="AB22" i="19" s="1"/>
  <c r="N21" i="33" s="1"/>
  <c r="I29" i="30" l="1"/>
  <c r="S23" i="19"/>
  <c r="T23" i="19" s="1"/>
  <c r="U23" i="19" s="1"/>
  <c r="I29" i="31"/>
  <c r="R23" i="19" l="1"/>
  <c r="AA23" i="19"/>
  <c r="AB23" i="19" s="1"/>
  <c r="I30" i="30" l="1"/>
  <c r="N22" i="33"/>
  <c r="S24" i="19"/>
  <c r="T24" i="19" s="1"/>
  <c r="I30" i="31"/>
  <c r="R24" i="19" l="1"/>
  <c r="I31" i="31" s="1"/>
  <c r="U24" i="19"/>
  <c r="AA24" i="19"/>
  <c r="AB24" i="19" s="1"/>
  <c r="S25" i="19" l="1"/>
  <c r="T25" i="19" s="1"/>
  <c r="U25" i="19" s="1"/>
  <c r="I31" i="30"/>
  <c r="N23" i="33"/>
  <c r="AA25" i="19" l="1"/>
  <c r="AB25" i="19" s="1"/>
  <c r="N24" i="33" s="1"/>
  <c r="R25" i="19"/>
  <c r="I32" i="30" l="1"/>
  <c r="S26" i="19"/>
  <c r="T26" i="19" s="1"/>
  <c r="U26" i="19" s="1"/>
  <c r="I32" i="31"/>
  <c r="R26" i="19" l="1"/>
  <c r="AA26" i="19"/>
  <c r="AB26" i="19" s="1"/>
  <c r="I33" i="30" l="1"/>
  <c r="N25" i="33"/>
  <c r="S27" i="19"/>
  <c r="T27" i="19" s="1"/>
  <c r="U27" i="19" s="1"/>
  <c r="I33" i="31"/>
  <c r="R27" i="19" l="1"/>
  <c r="AA27" i="19"/>
  <c r="AB27" i="19" s="1"/>
  <c r="I34" i="30"/>
  <c r="N26" i="33" l="1"/>
  <c r="S28" i="19"/>
  <c r="T28" i="19" s="1"/>
  <c r="U28" i="19" s="1"/>
  <c r="I34" i="31"/>
  <c r="AA28" i="19" l="1"/>
  <c r="AB28" i="19" s="1"/>
  <c r="R28" i="19"/>
  <c r="I35" i="30" l="1"/>
  <c r="N27" i="33"/>
  <c r="S29" i="19"/>
  <c r="T29" i="19" s="1"/>
  <c r="I35" i="31"/>
  <c r="AA29" i="19" l="1"/>
  <c r="AB29" i="19" s="1"/>
  <c r="U29" i="19"/>
  <c r="I36" i="30" s="1"/>
  <c r="R29" i="19"/>
  <c r="N28" i="33" l="1"/>
  <c r="S30" i="19"/>
  <c r="T30" i="19" s="1"/>
  <c r="AA30" i="19" s="1"/>
  <c r="I36" i="31"/>
  <c r="U30" i="19" l="1"/>
  <c r="R30" i="19"/>
  <c r="S31" i="19" s="1"/>
  <c r="T31" i="19" s="1"/>
  <c r="AA31" i="19" s="1"/>
  <c r="AB30" i="19"/>
  <c r="N29" i="33" s="1"/>
  <c r="U31" i="19" l="1"/>
  <c r="I37" i="31"/>
  <c r="R31" i="19"/>
  <c r="I37" i="30"/>
  <c r="AB31" i="19"/>
  <c r="N30" i="33" s="1"/>
  <c r="I38" i="30" l="1"/>
  <c r="S32" i="19"/>
  <c r="T32" i="19" s="1"/>
  <c r="I38" i="31"/>
  <c r="AA32" i="19" l="1"/>
  <c r="U32" i="19"/>
  <c r="R32" i="19"/>
  <c r="I39" i="31" s="1"/>
  <c r="AB32" i="19"/>
  <c r="N31" i="33" s="1"/>
  <c r="T7" i="11"/>
  <c r="S33" i="19" l="1"/>
  <c r="T33" i="19" s="1"/>
  <c r="AA33" i="19" s="1"/>
  <c r="AB33" i="19" s="1"/>
  <c r="N32" i="33" s="1"/>
  <c r="U7" i="11"/>
  <c r="H14" i="30" s="1"/>
  <c r="R7" i="11"/>
  <c r="I39" i="30"/>
  <c r="AA7" i="11"/>
  <c r="U33" i="19" l="1"/>
  <c r="I40" i="30" s="1"/>
  <c r="R33" i="19"/>
  <c r="I40" i="31" s="1"/>
  <c r="AB7" i="11"/>
  <c r="M6" i="33" s="1"/>
  <c r="S8" i="11"/>
  <c r="T8" i="11" s="1"/>
  <c r="AA8" i="11" s="1"/>
  <c r="H14" i="31"/>
  <c r="S34" i="19" l="1"/>
  <c r="T34" i="19" s="1"/>
  <c r="AA34" i="19" s="1"/>
  <c r="U8" i="11"/>
  <c r="H15" i="30" s="1"/>
  <c r="R8" i="11"/>
  <c r="AB8" i="11"/>
  <c r="R34" i="19" l="1"/>
  <c r="I41" i="31" s="1"/>
  <c r="U34" i="19"/>
  <c r="I41" i="30" s="1"/>
  <c r="S35" i="19"/>
  <c r="T35" i="19" s="1"/>
  <c r="AA35" i="19" s="1"/>
  <c r="AB34" i="19"/>
  <c r="N33" i="33" s="1"/>
  <c r="M7" i="33"/>
  <c r="S9" i="11"/>
  <c r="T9" i="11" s="1"/>
  <c r="R9" i="11" s="1"/>
  <c r="H15" i="31"/>
  <c r="U35" i="19" l="1"/>
  <c r="R35" i="19"/>
  <c r="U9" i="11"/>
  <c r="S10" i="11"/>
  <c r="AA9" i="11"/>
  <c r="H16" i="31" l="1"/>
  <c r="AB9" i="11"/>
  <c r="M8" i="33" s="1"/>
  <c r="I42" i="31"/>
  <c r="S36" i="19"/>
  <c r="T36" i="19" s="1"/>
  <c r="AA36" i="19" s="1"/>
  <c r="AB35" i="19"/>
  <c r="N34" i="33" s="1"/>
  <c r="I42" i="30"/>
  <c r="H16" i="30"/>
  <c r="T10" i="11"/>
  <c r="R10" i="11" s="1"/>
  <c r="U36" i="19" l="1"/>
  <c r="R36" i="19"/>
  <c r="U10" i="11"/>
  <c r="AA10" i="11"/>
  <c r="AB10" i="11" s="1"/>
  <c r="AB36" i="19"/>
  <c r="N35" i="33" s="1"/>
  <c r="S11" i="11"/>
  <c r="H17" i="31"/>
  <c r="I43" i="30" l="1"/>
  <c r="I43" i="31"/>
  <c r="S37" i="19"/>
  <c r="T37" i="19" s="1"/>
  <c r="AA37" i="19" s="1"/>
  <c r="H17" i="30"/>
  <c r="M9" i="33"/>
  <c r="T11" i="11"/>
  <c r="U11" i="11" s="1"/>
  <c r="U37" i="19" l="1"/>
  <c r="R37" i="19"/>
  <c r="R11" i="11"/>
  <c r="AA11" i="11"/>
  <c r="AB11" i="11" s="1"/>
  <c r="M10" i="33" s="1"/>
  <c r="I44" i="31" l="1"/>
  <c r="S38" i="19"/>
  <c r="T38" i="19" s="1"/>
  <c r="AA38" i="19" s="1"/>
  <c r="I44" i="30"/>
  <c r="AB37" i="19"/>
  <c r="N36" i="33" s="1"/>
  <c r="H18" i="30"/>
  <c r="S12" i="11"/>
  <c r="T12" i="11" s="1"/>
  <c r="H18" i="31"/>
  <c r="U38" i="19" l="1"/>
  <c r="R38" i="19"/>
  <c r="R12" i="11"/>
  <c r="U12" i="11"/>
  <c r="AA12" i="11"/>
  <c r="AB38" i="19"/>
  <c r="N37" i="33" s="1"/>
  <c r="AB12" i="11" l="1"/>
  <c r="M11" i="33" s="1"/>
  <c r="I45" i="30"/>
  <c r="S39" i="19"/>
  <c r="T39" i="19" s="1"/>
  <c r="AA39" i="19" s="1"/>
  <c r="I45" i="31"/>
  <c r="S13" i="11"/>
  <c r="T13" i="11" s="1"/>
  <c r="R13" i="11" s="1"/>
  <c r="H19" i="31"/>
  <c r="H19" i="30"/>
  <c r="U39" i="19" l="1"/>
  <c r="R39" i="19"/>
  <c r="U13" i="11"/>
  <c r="AA13" i="11"/>
  <c r="AB13" i="11" s="1"/>
  <c r="S14" i="11"/>
  <c r="H20" i="31"/>
  <c r="I46" i="30" l="1"/>
  <c r="I46" i="31"/>
  <c r="S40" i="19"/>
  <c r="T40" i="19" s="1"/>
  <c r="AA40" i="19" s="1"/>
  <c r="AB39" i="19"/>
  <c r="N38" i="33" s="1"/>
  <c r="H20" i="30"/>
  <c r="M12" i="33"/>
  <c r="T14" i="11"/>
  <c r="U14" i="11" s="1"/>
  <c r="U40" i="19" l="1"/>
  <c r="R40" i="19"/>
  <c r="I47" i="31" s="1"/>
  <c r="H21" i="30"/>
  <c r="R14" i="11"/>
  <c r="AA14" i="11"/>
  <c r="AB14" i="11" s="1"/>
  <c r="M13" i="33" s="1"/>
  <c r="AB40" i="19"/>
  <c r="N39" i="33" s="1"/>
  <c r="S41" i="19" l="1"/>
  <c r="T41" i="19" s="1"/>
  <c r="AA41" i="19" s="1"/>
  <c r="AB41" i="19" s="1"/>
  <c r="N40" i="33" s="1"/>
  <c r="I47" i="30"/>
  <c r="S15" i="11"/>
  <c r="T15" i="11" s="1"/>
  <c r="H21" i="31"/>
  <c r="R41" i="19" l="1"/>
  <c r="I48" i="31" s="1"/>
  <c r="U41" i="19"/>
  <c r="I48" i="30" s="1"/>
  <c r="R15" i="11"/>
  <c r="H22" i="31" s="1"/>
  <c r="U15" i="11"/>
  <c r="AA15" i="11"/>
  <c r="AB15" i="11" s="1"/>
  <c r="S42" i="19" l="1"/>
  <c r="T42" i="19" s="1"/>
  <c r="AA42" i="19" s="1"/>
  <c r="U42" i="19"/>
  <c r="I49" i="30" s="1"/>
  <c r="R42" i="19"/>
  <c r="M14" i="33"/>
  <c r="H22" i="30"/>
  <c r="S16" i="11"/>
  <c r="T16" i="11" s="1"/>
  <c r="R16" i="11" s="1"/>
  <c r="U16" i="11" l="1"/>
  <c r="I49" i="31"/>
  <c r="S43" i="19"/>
  <c r="T43" i="19" s="1"/>
  <c r="AA43" i="19" s="1"/>
  <c r="AA16" i="11"/>
  <c r="AB16" i="11" s="1"/>
  <c r="AB42" i="19"/>
  <c r="N41" i="33" s="1"/>
  <c r="S17" i="11"/>
  <c r="H23" i="31"/>
  <c r="Y6" i="11"/>
  <c r="U43" i="19" l="1"/>
  <c r="I50" i="30" s="1"/>
  <c r="R43" i="19"/>
  <c r="W6" i="11"/>
  <c r="Z6" i="11"/>
  <c r="F13" i="30" s="1"/>
  <c r="AB43" i="19"/>
  <c r="N42" i="33" s="1"/>
  <c r="M15" i="33"/>
  <c r="AC6" i="11"/>
  <c r="AD6" i="11" s="1"/>
  <c r="H23" i="30"/>
  <c r="S44" i="19" l="1"/>
  <c r="T44" i="19" s="1"/>
  <c r="AA44" i="19" s="1"/>
  <c r="I50" i="31"/>
  <c r="K5" i="33"/>
  <c r="F13" i="31"/>
  <c r="X7" i="11"/>
  <c r="Y7" i="11" s="1"/>
  <c r="U44" i="19" l="1"/>
  <c r="R44" i="19"/>
  <c r="AB44" i="19"/>
  <c r="N43" i="33" s="1"/>
  <c r="Z7" i="11"/>
  <c r="F14" i="30" s="1"/>
  <c r="W7" i="11"/>
  <c r="AC7" i="11"/>
  <c r="AD7" i="11" s="1"/>
  <c r="K6" i="33" s="1"/>
  <c r="I51" i="31" l="1"/>
  <c r="S45" i="19"/>
  <c r="T45" i="19" s="1"/>
  <c r="AA45" i="19" s="1"/>
  <c r="I51" i="30"/>
  <c r="X8" i="11"/>
  <c r="Y8" i="11" s="1"/>
  <c r="F14" i="31"/>
  <c r="U45" i="19" l="1"/>
  <c r="R45" i="19"/>
  <c r="AB45" i="19"/>
  <c r="N44" i="33" s="1"/>
  <c r="Z8" i="11"/>
  <c r="F15" i="30" s="1"/>
  <c r="W8" i="11"/>
  <c r="F15" i="31" s="1"/>
  <c r="AC8" i="11"/>
  <c r="AD8" i="11" s="1"/>
  <c r="I52" i="31" l="1"/>
  <c r="S46" i="19"/>
  <c r="T46" i="19" s="1"/>
  <c r="AA46" i="19" s="1"/>
  <c r="I52" i="30"/>
  <c r="K7" i="33"/>
  <c r="X9" i="11"/>
  <c r="Y9" i="11" s="1"/>
  <c r="Z9" i="11" s="1"/>
  <c r="U46" i="19" l="1"/>
  <c r="R46" i="19"/>
  <c r="AB46" i="19"/>
  <c r="N45" i="33" s="1"/>
  <c r="W9" i="11"/>
  <c r="F16" i="30"/>
  <c r="AC9" i="11"/>
  <c r="AD9" i="11" s="1"/>
  <c r="I53" i="30" l="1"/>
  <c r="S47" i="19"/>
  <c r="T47" i="19" s="1"/>
  <c r="U47" i="19" s="1"/>
  <c r="I53" i="31"/>
  <c r="F16" i="31"/>
  <c r="K8" i="33"/>
  <c r="X10" i="11"/>
  <c r="Y10" i="11" s="1"/>
  <c r="Z10" i="11" s="1"/>
  <c r="R47" i="19" l="1"/>
  <c r="AA47" i="19"/>
  <c r="W10" i="11"/>
  <c r="F17" i="31" s="1"/>
  <c r="F17" i="30"/>
  <c r="AC10" i="11"/>
  <c r="AD10" i="11" s="1"/>
  <c r="I54" i="31" l="1"/>
  <c r="S48" i="19"/>
  <c r="T48" i="19" s="1"/>
  <c r="U48" i="19" s="1"/>
  <c r="AB47" i="19"/>
  <c r="N46" i="33" s="1"/>
  <c r="I54" i="30"/>
  <c r="K9" i="33"/>
  <c r="X11" i="11"/>
  <c r="Y11" i="11" s="1"/>
  <c r="Z11" i="11" s="1"/>
  <c r="AA48" i="19" l="1"/>
  <c r="AB48" i="19" s="1"/>
  <c r="N47" i="33" s="1"/>
  <c r="R48" i="19"/>
  <c r="I55" i="31" s="1"/>
  <c r="W11" i="11"/>
  <c r="F18" i="31" s="1"/>
  <c r="F18" i="30"/>
  <c r="AC11" i="11"/>
  <c r="AD11" i="11" s="1"/>
  <c r="K10" i="33" s="1"/>
  <c r="S49" i="19" l="1"/>
  <c r="T49" i="19" s="1"/>
  <c r="U49" i="19" s="1"/>
  <c r="I55" i="30"/>
  <c r="X12" i="11"/>
  <c r="Y12" i="11" s="1"/>
  <c r="Z12" i="11" s="1"/>
  <c r="AA49" i="19" l="1"/>
  <c r="R49" i="19"/>
  <c r="I56" i="31" s="1"/>
  <c r="I56" i="30"/>
  <c r="AC12" i="11"/>
  <c r="AD12" i="11" s="1"/>
  <c r="K11" i="33" s="1"/>
  <c r="W12" i="11"/>
  <c r="F19" i="31" s="1"/>
  <c r="F19" i="30"/>
  <c r="AB49" i="19" l="1"/>
  <c r="N48" i="33" s="1"/>
  <c r="S50" i="19"/>
  <c r="T50" i="19" s="1"/>
  <c r="X13" i="11"/>
  <c r="Y13" i="11" s="1"/>
  <c r="Z13" i="11" s="1"/>
  <c r="U50" i="19" l="1"/>
  <c r="R50" i="19"/>
  <c r="I57" i="31" s="1"/>
  <c r="AA50" i="19"/>
  <c r="F20" i="30"/>
  <c r="W13" i="11"/>
  <c r="X14" i="11" s="1"/>
  <c r="Y14" i="11" s="1"/>
  <c r="W14" i="11" s="1"/>
  <c r="AC13" i="11"/>
  <c r="AD13" i="11" s="1"/>
  <c r="K12" i="33" s="1"/>
  <c r="I57" i="30" l="1"/>
  <c r="AB50" i="19"/>
  <c r="N49" i="33" s="1"/>
  <c r="S51" i="19"/>
  <c r="T51" i="19" s="1"/>
  <c r="U51" i="19" s="1"/>
  <c r="F20" i="31"/>
  <c r="Z14" i="11"/>
  <c r="F21" i="31"/>
  <c r="X15" i="11"/>
  <c r="Y15" i="11" s="1"/>
  <c r="W15" i="11" s="1"/>
  <c r="AC14" i="11"/>
  <c r="R51" i="19" l="1"/>
  <c r="I58" i="31" s="1"/>
  <c r="AA51" i="19"/>
  <c r="I58" i="30"/>
  <c r="Z15" i="11"/>
  <c r="AD14" i="11"/>
  <c r="K13" i="33" s="1"/>
  <c r="F21" i="30"/>
  <c r="AC15" i="11"/>
  <c r="X16" i="11"/>
  <c r="Y16" i="11" s="1"/>
  <c r="F22" i="31"/>
  <c r="AB51" i="19" l="1"/>
  <c r="N50" i="33" s="1"/>
  <c r="S52" i="19"/>
  <c r="T52" i="19" s="1"/>
  <c r="U52" i="19" s="1"/>
  <c r="W16" i="11"/>
  <c r="Z16" i="11"/>
  <c r="AC16" i="11"/>
  <c r="AD16" i="11" s="1"/>
  <c r="K15" i="33" s="1"/>
  <c r="AD15" i="11"/>
  <c r="K14" i="33" s="1"/>
  <c r="F22" i="30"/>
  <c r="AA52" i="19" l="1"/>
  <c r="AB52" i="19" s="1"/>
  <c r="N51" i="33" s="1"/>
  <c r="I59" i="30"/>
  <c r="R52" i="19"/>
  <c r="I59" i="31" s="1"/>
  <c r="F23" i="30"/>
  <c r="X17" i="11"/>
  <c r="Y17" i="11" s="1"/>
  <c r="W17" i="11" s="1"/>
  <c r="F23" i="31"/>
  <c r="S53" i="19" l="1"/>
  <c r="T53" i="19" s="1"/>
  <c r="Z17" i="11"/>
  <c r="AC17" i="11"/>
  <c r="AD17" i="11" s="1"/>
  <c r="R53" i="19" l="1"/>
  <c r="I60" i="31" s="1"/>
  <c r="U53" i="19"/>
  <c r="S54" i="19"/>
  <c r="T54" i="19" s="1"/>
  <c r="R54" i="19" s="1"/>
  <c r="I61" i="31" s="1"/>
  <c r="AA53" i="19"/>
  <c r="X18" i="11"/>
  <c r="Y18" i="11" s="1"/>
  <c r="W18" i="11" s="1"/>
  <c r="F25" i="31" s="1"/>
  <c r="F24" i="31"/>
  <c r="K16" i="33"/>
  <c r="F24" i="30"/>
  <c r="U54" i="19" l="1"/>
  <c r="S55" i="19"/>
  <c r="T55" i="19" s="1"/>
  <c r="R55" i="19" s="1"/>
  <c r="I62" i="31" s="1"/>
  <c r="C158" i="17" s="1"/>
  <c r="AB53" i="19"/>
  <c r="N52" i="33" s="1"/>
  <c r="AA54" i="19"/>
  <c r="I60" i="30"/>
  <c r="AC18" i="11"/>
  <c r="AD18" i="11" s="1"/>
  <c r="K17" i="33" s="1"/>
  <c r="Z18" i="11"/>
  <c r="X19" i="11"/>
  <c r="Y19" i="11" s="1"/>
  <c r="U55" i="19" l="1"/>
  <c r="I62" i="30" s="1"/>
  <c r="C151" i="17" s="1"/>
  <c r="I61" i="30"/>
  <c r="AB54" i="19"/>
  <c r="N53" i="33" s="1"/>
  <c r="AA55" i="19"/>
  <c r="AB55" i="19" s="1"/>
  <c r="N54" i="33" s="1"/>
  <c r="AC19" i="11"/>
  <c r="AD19" i="11" s="1"/>
  <c r="K18" i="33" s="1"/>
  <c r="F25" i="30"/>
  <c r="Z19" i="11"/>
  <c r="W19" i="11"/>
  <c r="X20" i="11" s="1"/>
  <c r="Y20" i="11" s="1"/>
  <c r="AC20" i="11" l="1"/>
  <c r="AD20" i="11" s="1"/>
  <c r="K19" i="33" s="1"/>
  <c r="Z20" i="11"/>
  <c r="F26" i="31"/>
  <c r="W20" i="11"/>
  <c r="F27" i="31" s="1"/>
  <c r="F26" i="30"/>
  <c r="X21" i="11" l="1"/>
  <c r="Y21" i="11" s="1"/>
  <c r="AC21" i="11" s="1"/>
  <c r="AD21" i="11" s="1"/>
  <c r="K20" i="33" s="1"/>
  <c r="F27" i="30"/>
  <c r="W21" i="11" l="1"/>
  <c r="X22" i="11" s="1"/>
  <c r="Y22" i="11" s="1"/>
  <c r="AC22" i="11" s="1"/>
  <c r="AD22" i="11" s="1"/>
  <c r="Z21" i="11"/>
  <c r="F28" i="31" l="1"/>
  <c r="F28" i="30"/>
  <c r="Z22" i="11"/>
  <c r="W22" i="11"/>
  <c r="X23" i="11" s="1"/>
  <c r="Y23" i="11" s="1"/>
  <c r="AC23" i="11" s="1"/>
  <c r="AD23" i="11" s="1"/>
  <c r="K21" i="33"/>
  <c r="F29" i="31" l="1"/>
  <c r="Z23" i="11"/>
  <c r="F29" i="30"/>
  <c r="W23" i="11"/>
  <c r="F30" i="31" s="1"/>
  <c r="K22" i="33"/>
  <c r="F30" i="30" l="1"/>
  <c r="X24" i="11"/>
  <c r="Y24" i="11" s="1"/>
  <c r="AC24" i="11" s="1"/>
  <c r="AD24" i="11" s="1"/>
  <c r="Z24" i="11" l="1"/>
  <c r="W24" i="11"/>
  <c r="F31" i="31" s="1"/>
  <c r="K23" i="33"/>
  <c r="F31" i="30" l="1"/>
  <c r="X25" i="11"/>
  <c r="Y25" i="11" s="1"/>
  <c r="AC25" i="11" s="1"/>
  <c r="AD25" i="11" s="1"/>
  <c r="W25" i="11" l="1"/>
  <c r="Z25" i="11"/>
  <c r="K24" i="33"/>
  <c r="F32" i="30" l="1"/>
  <c r="F32" i="31"/>
  <c r="X26" i="11"/>
  <c r="Y26" i="11" s="1"/>
  <c r="Z26" i="11" s="1"/>
  <c r="AC26" i="11" l="1"/>
  <c r="AD26" i="11" s="1"/>
  <c r="K25" i="33" s="1"/>
  <c r="W26" i="11"/>
  <c r="F33" i="31" l="1"/>
  <c r="X27" i="11"/>
  <c r="Y27" i="11" s="1"/>
  <c r="F33" i="30"/>
  <c r="AC27" i="11" l="1"/>
  <c r="AD27" i="11" s="1"/>
  <c r="K26" i="33" s="1"/>
  <c r="Z27" i="11"/>
  <c r="W27" i="11"/>
  <c r="F34" i="30" l="1"/>
  <c r="F34" i="31"/>
  <c r="X28" i="11"/>
  <c r="Y28" i="11" s="1"/>
  <c r="AC28" i="11" s="1"/>
  <c r="AD28" i="11" s="1"/>
  <c r="Z28" i="11" l="1"/>
  <c r="W28" i="11"/>
  <c r="K27" i="33"/>
  <c r="F35" i="30" l="1"/>
  <c r="X29" i="11"/>
  <c r="Y29" i="11" s="1"/>
  <c r="AC29" i="11" s="1"/>
  <c r="AD29" i="11" s="1"/>
  <c r="F35" i="31"/>
  <c r="Z29" i="11" l="1"/>
  <c r="W29" i="11"/>
  <c r="K28" i="33"/>
  <c r="F36" i="30" l="1"/>
  <c r="F36" i="31"/>
  <c r="X30" i="11"/>
  <c r="Y30" i="11" s="1"/>
  <c r="AC30" i="11" s="1"/>
  <c r="AD30" i="11" s="1"/>
  <c r="Z30" i="11" l="1"/>
  <c r="W30" i="11"/>
  <c r="F37" i="31" s="1"/>
  <c r="K29" i="33"/>
  <c r="X31" i="11" l="1"/>
  <c r="Y31" i="11" s="1"/>
  <c r="Z31" i="11" s="1"/>
  <c r="F37" i="30"/>
  <c r="AC31" i="11" l="1"/>
  <c r="AD31" i="11" s="1"/>
  <c r="K30" i="33" s="1"/>
  <c r="W31" i="11"/>
  <c r="X32" i="11" s="1"/>
  <c r="Y32" i="11" s="1"/>
  <c r="F38" i="30"/>
  <c r="AC32" i="11" l="1"/>
  <c r="AD32" i="11" s="1"/>
  <c r="K31" i="33" s="1"/>
  <c r="F38" i="31"/>
  <c r="W32" i="11"/>
  <c r="X33" i="11" s="1"/>
  <c r="Y33" i="11" s="1"/>
  <c r="Z32" i="11"/>
  <c r="AC33" i="11" l="1"/>
  <c r="AD33" i="11" s="1"/>
  <c r="K32" i="33" s="1"/>
  <c r="F39" i="31"/>
  <c r="F39" i="30"/>
  <c r="Z33" i="11"/>
  <c r="W33" i="11"/>
  <c r="F40" i="30" l="1"/>
  <c r="F40" i="31"/>
  <c r="X34" i="11"/>
  <c r="Y34" i="11" s="1"/>
  <c r="AC34" i="11" s="1"/>
  <c r="AD34" i="11" s="1"/>
  <c r="Z34" i="11" l="1"/>
  <c r="W34" i="11"/>
  <c r="K33" i="33"/>
  <c r="F41" i="31" l="1"/>
  <c r="X35" i="11"/>
  <c r="Y35" i="11" s="1"/>
  <c r="AC35" i="11" s="1"/>
  <c r="AD35" i="11" s="1"/>
  <c r="F41" i="30"/>
  <c r="Z35" i="11" l="1"/>
  <c r="W35" i="11"/>
  <c r="K34" i="33"/>
  <c r="T17" i="11"/>
  <c r="R17" i="11" l="1"/>
  <c r="H24" i="31" s="1"/>
  <c r="U17" i="11"/>
  <c r="AA17" i="11"/>
  <c r="AB17" i="11" s="1"/>
  <c r="F42" i="31"/>
  <c r="X36" i="11"/>
  <c r="Y36" i="11" s="1"/>
  <c r="AC36" i="11" s="1"/>
  <c r="AD36" i="11" s="1"/>
  <c r="F42" i="30"/>
  <c r="Z36" i="11" l="1"/>
  <c r="W36" i="11"/>
  <c r="F43" i="31" s="1"/>
  <c r="K35" i="33"/>
  <c r="H24" i="30"/>
  <c r="M16" i="33"/>
  <c r="S18" i="11"/>
  <c r="T18" i="11" s="1"/>
  <c r="U18" i="11" s="1"/>
  <c r="H25" i="30" l="1"/>
  <c r="R18" i="11"/>
  <c r="AA18" i="11"/>
  <c r="AB18" i="11" s="1"/>
  <c r="M17" i="33" s="1"/>
  <c r="F43" i="30"/>
  <c r="X37" i="11"/>
  <c r="Y37" i="11" s="1"/>
  <c r="Z37" i="11" s="1"/>
  <c r="AC37" i="11" l="1"/>
  <c r="AD37" i="11" s="1"/>
  <c r="K36" i="33" s="1"/>
  <c r="F44" i="30"/>
  <c r="W37" i="11"/>
  <c r="X38" i="11" s="1"/>
  <c r="Y38" i="11" s="1"/>
  <c r="Z38" i="11" s="1"/>
  <c r="S19" i="11"/>
  <c r="T19" i="11" s="1"/>
  <c r="U19" i="11" s="1"/>
  <c r="H25" i="31"/>
  <c r="R19" i="11" l="1"/>
  <c r="S20" i="11" s="1"/>
  <c r="T20" i="11" s="1"/>
  <c r="U20" i="11" s="1"/>
  <c r="AA19" i="11"/>
  <c r="AB19" i="11" s="1"/>
  <c r="F44" i="31"/>
  <c r="W38" i="11"/>
  <c r="F45" i="31" s="1"/>
  <c r="AC38" i="11"/>
  <c r="AD38" i="11" s="1"/>
  <c r="K37" i="33" s="1"/>
  <c r="F45" i="30"/>
  <c r="R20" i="11" l="1"/>
  <c r="H27" i="31" s="1"/>
  <c r="AA20" i="11"/>
  <c r="AB20" i="11" s="1"/>
  <c r="X39" i="11"/>
  <c r="Y39" i="11" s="1"/>
  <c r="W39" i="11" s="1"/>
  <c r="X40" i="11" s="1"/>
  <c r="Y40" i="11" s="1"/>
  <c r="W40" i="11" s="1"/>
  <c r="H26" i="31"/>
  <c r="H26" i="30"/>
  <c r="M18" i="33"/>
  <c r="AC39" i="11" l="1"/>
  <c r="AD39" i="11" s="1"/>
  <c r="K38" i="33" s="1"/>
  <c r="Z39" i="11"/>
  <c r="F46" i="31"/>
  <c r="M19" i="33"/>
  <c r="H27" i="30"/>
  <c r="S21" i="11"/>
  <c r="T21" i="11" s="1"/>
  <c r="R21" i="11" l="1"/>
  <c r="U21" i="11"/>
  <c r="AA21" i="11"/>
  <c r="AB21" i="11" s="1"/>
  <c r="AC40" i="11"/>
  <c r="AD40" i="11" s="1"/>
  <c r="K39" i="33" s="1"/>
  <c r="Z40" i="11"/>
  <c r="F47" i="30" s="1"/>
  <c r="F46" i="30"/>
  <c r="F47" i="31"/>
  <c r="X41" i="11"/>
  <c r="Y41" i="11" s="1"/>
  <c r="W41" i="11" s="1"/>
  <c r="S22" i="11" l="1"/>
  <c r="T22" i="11" s="1"/>
  <c r="U22" i="11" s="1"/>
  <c r="Z41" i="11"/>
  <c r="H28" i="31"/>
  <c r="H28" i="30"/>
  <c r="AC41" i="11"/>
  <c r="AD41" i="11" s="1"/>
  <c r="M20" i="33"/>
  <c r="R22" i="11" l="1"/>
  <c r="AA22" i="11"/>
  <c r="AB22" i="11" s="1"/>
  <c r="M21" i="33" s="1"/>
  <c r="H29" i="30"/>
  <c r="F48" i="31"/>
  <c r="X42" i="11"/>
  <c r="Y42" i="11" s="1"/>
  <c r="K40" i="33"/>
  <c r="F48" i="30"/>
  <c r="H29" i="31" l="1"/>
  <c r="S23" i="11"/>
  <c r="T23" i="11" s="1"/>
  <c r="AA23" i="11" s="1"/>
  <c r="W42" i="11"/>
  <c r="Z42" i="11"/>
  <c r="AC42" i="11"/>
  <c r="AD42" i="11" s="1"/>
  <c r="K41" i="33" s="1"/>
  <c r="R23" i="11" l="1"/>
  <c r="H30" i="31" s="1"/>
  <c r="U23" i="11"/>
  <c r="H30" i="30" s="1"/>
  <c r="AB23" i="11"/>
  <c r="M22" i="33" s="1"/>
  <c r="F49" i="30"/>
  <c r="F49" i="31"/>
  <c r="X43" i="11"/>
  <c r="Y43" i="11" s="1"/>
  <c r="W43" i="11" s="1"/>
  <c r="S24" i="11" l="1"/>
  <c r="T24" i="11" s="1"/>
  <c r="R24" i="11" s="1"/>
  <c r="Z43" i="11"/>
  <c r="AC43" i="11"/>
  <c r="AD43" i="11" s="1"/>
  <c r="AA24" i="11" l="1"/>
  <c r="AB24" i="11" s="1"/>
  <c r="M23" i="33" s="1"/>
  <c r="U24" i="11"/>
  <c r="H31" i="30" s="1"/>
  <c r="F50" i="31"/>
  <c r="X44" i="11"/>
  <c r="Y44" i="11" s="1"/>
  <c r="F50" i="30"/>
  <c r="K42" i="33"/>
  <c r="S25" i="11"/>
  <c r="T25" i="11" s="1"/>
  <c r="H31" i="31"/>
  <c r="U25" i="11" l="1"/>
  <c r="R25" i="11"/>
  <c r="AA25" i="11"/>
  <c r="AB25" i="11" s="1"/>
  <c r="W44" i="11"/>
  <c r="F51" i="31" s="1"/>
  <c r="Z44" i="11"/>
  <c r="AC44" i="11"/>
  <c r="AD44" i="11" s="1"/>
  <c r="K43" i="33" s="1"/>
  <c r="X45" i="11" l="1"/>
  <c r="Y45" i="11" s="1"/>
  <c r="W45" i="11" s="1"/>
  <c r="F52" i="31" s="1"/>
  <c r="S26" i="11"/>
  <c r="T26" i="11" s="1"/>
  <c r="R26" i="11" s="1"/>
  <c r="H32" i="31"/>
  <c r="M24" i="33"/>
  <c r="F51" i="30"/>
  <c r="H32" i="30"/>
  <c r="U26" i="11" l="1"/>
  <c r="X46" i="11"/>
  <c r="Y46" i="11" s="1"/>
  <c r="W46" i="11" s="1"/>
  <c r="Z45" i="11"/>
  <c r="F52" i="30" s="1"/>
  <c r="AC45" i="11"/>
  <c r="AD45" i="11" s="1"/>
  <c r="K44" i="33" s="1"/>
  <c r="H33" i="31"/>
  <c r="AA26" i="11"/>
  <c r="AC46" i="11" l="1"/>
  <c r="Z46" i="11"/>
  <c r="F53" i="30" s="1"/>
  <c r="S27" i="11"/>
  <c r="T27" i="11" s="1"/>
  <c r="AB26" i="11"/>
  <c r="M25" i="33" s="1"/>
  <c r="H33" i="30"/>
  <c r="AD46" i="11"/>
  <c r="K45" i="33" s="1"/>
  <c r="X47" i="11"/>
  <c r="Y47" i="11" s="1"/>
  <c r="W47" i="11" s="1"/>
  <c r="F53" i="31"/>
  <c r="U27" i="11" l="1"/>
  <c r="R27" i="11"/>
  <c r="S28" i="11" s="1"/>
  <c r="T28" i="11" s="1"/>
  <c r="AA27" i="11"/>
  <c r="AB27" i="11" s="1"/>
  <c r="M26" i="33" s="1"/>
  <c r="X48" i="11"/>
  <c r="Y48" i="11" s="1"/>
  <c r="F54" i="31"/>
  <c r="AC47" i="11"/>
  <c r="Z47" i="11"/>
  <c r="R28" i="11" l="1"/>
  <c r="H35" i="31" s="1"/>
  <c r="U28" i="11"/>
  <c r="H34" i="31"/>
  <c r="H34" i="30"/>
  <c r="AA28" i="11"/>
  <c r="AB28" i="11" s="1"/>
  <c r="M27" i="33" s="1"/>
  <c r="Z48" i="11"/>
  <c r="F54" i="30"/>
  <c r="AD47" i="11"/>
  <c r="K46" i="33" s="1"/>
  <c r="AC48" i="11"/>
  <c r="W48" i="11"/>
  <c r="H35" i="30" l="1"/>
  <c r="S29" i="11"/>
  <c r="T29" i="11" s="1"/>
  <c r="U29" i="11" s="1"/>
  <c r="X49" i="11"/>
  <c r="Y49" i="11" s="1"/>
  <c r="AC49" i="11" s="1"/>
  <c r="F55" i="31"/>
  <c r="F55" i="30"/>
  <c r="AD48" i="11"/>
  <c r="K47" i="33" s="1"/>
  <c r="H36" i="30" l="1"/>
  <c r="AA29" i="11"/>
  <c r="AB29" i="11" s="1"/>
  <c r="M28" i="33" s="1"/>
  <c r="R29" i="11"/>
  <c r="AD49" i="11"/>
  <c r="K48" i="33" s="1"/>
  <c r="Z49" i="11"/>
  <c r="W49" i="11"/>
  <c r="F56" i="31" s="1"/>
  <c r="H36" i="31" l="1"/>
  <c r="S30" i="11"/>
  <c r="T30" i="11" s="1"/>
  <c r="U30" i="11" s="1"/>
  <c r="H37" i="30" s="1"/>
  <c r="F56" i="30"/>
  <c r="X50" i="11"/>
  <c r="Y50" i="11" s="1"/>
  <c r="W50" i="11" s="1"/>
  <c r="F57" i="31" s="1"/>
  <c r="AA30" i="11" l="1"/>
  <c r="AB30" i="11" s="1"/>
  <c r="M29" i="33" s="1"/>
  <c r="R30" i="11"/>
  <c r="X51" i="11"/>
  <c r="Y51" i="11" s="1"/>
  <c r="AC50" i="11"/>
  <c r="Z50" i="11"/>
  <c r="S31" i="11" l="1"/>
  <c r="T31" i="11" s="1"/>
  <c r="H37" i="31"/>
  <c r="W51" i="11"/>
  <c r="F58" i="31" s="1"/>
  <c r="Z51" i="11"/>
  <c r="F57" i="30"/>
  <c r="AD50" i="11"/>
  <c r="K49" i="33" s="1"/>
  <c r="AC51" i="11"/>
  <c r="U31" i="11" l="1"/>
  <c r="AA31" i="11"/>
  <c r="R31" i="11"/>
  <c r="F58" i="30"/>
  <c r="AD51" i="11"/>
  <c r="K50" i="33" s="1"/>
  <c r="X52" i="11"/>
  <c r="Y52" i="11" s="1"/>
  <c r="H38" i="31" l="1"/>
  <c r="S32" i="11"/>
  <c r="T32" i="11" s="1"/>
  <c r="R32" i="11" s="1"/>
  <c r="AB31" i="11"/>
  <c r="M30" i="33" s="1"/>
  <c r="H38" i="30"/>
  <c r="W52" i="11"/>
  <c r="F59" i="31" s="1"/>
  <c r="Z52" i="11"/>
  <c r="AC52" i="11"/>
  <c r="S33" i="11" l="1"/>
  <c r="T33" i="11" s="1"/>
  <c r="H39" i="31"/>
  <c r="U32" i="11"/>
  <c r="AA32" i="11"/>
  <c r="AB32" i="11" s="1"/>
  <c r="M31" i="33" s="1"/>
  <c r="AD52" i="11"/>
  <c r="K51" i="33" s="1"/>
  <c r="F59" i="30"/>
  <c r="X53" i="11"/>
  <c r="Y53" i="11" s="1"/>
  <c r="Z53" i="11" s="1"/>
  <c r="AA33" i="11" l="1"/>
  <c r="AB33" i="11" s="1"/>
  <c r="M32" i="33" s="1"/>
  <c r="U33" i="11"/>
  <c r="H39" i="30"/>
  <c r="R33" i="11"/>
  <c r="F60" i="30"/>
  <c r="W53" i="11"/>
  <c r="F60" i="31" s="1"/>
  <c r="AC53" i="11"/>
  <c r="S34" i="11" l="1"/>
  <c r="T34" i="11" s="1"/>
  <c r="AA34" i="11" s="1"/>
  <c r="AB34" i="11" s="1"/>
  <c r="M33" i="33" s="1"/>
  <c r="H40" i="31"/>
  <c r="H40" i="30"/>
  <c r="AD53" i="11"/>
  <c r="K52" i="33" s="1"/>
  <c r="X54" i="11"/>
  <c r="Y54" i="11" s="1"/>
  <c r="Z54" i="11" s="1"/>
  <c r="U34" i="11" l="1"/>
  <c r="R34" i="11"/>
  <c r="W54" i="11"/>
  <c r="F61" i="31" s="1"/>
  <c r="AC54" i="11"/>
  <c r="F61" i="30"/>
  <c r="H41" i="31" l="1"/>
  <c r="S35" i="11"/>
  <c r="T35" i="11" s="1"/>
  <c r="AA35" i="11" s="1"/>
  <c r="AB35" i="11" s="1"/>
  <c r="M34" i="33" s="1"/>
  <c r="H41" i="30"/>
  <c r="AD54" i="11"/>
  <c r="K53" i="33" s="1"/>
  <c r="X55" i="11"/>
  <c r="Y55" i="11" s="1"/>
  <c r="Z55" i="11" s="1"/>
  <c r="U35" i="11" l="1"/>
  <c r="R35" i="11"/>
  <c r="F62" i="30"/>
  <c r="B149" i="17" s="1"/>
  <c r="W55" i="11"/>
  <c r="F62" i="31" s="1"/>
  <c r="B156" i="17" s="1"/>
  <c r="AC55" i="11"/>
  <c r="AD55" i="11" s="1"/>
  <c r="K54" i="33" s="1"/>
  <c r="H42" i="31" l="1"/>
  <c r="S36" i="11"/>
  <c r="T36" i="11" s="1"/>
  <c r="AA36" i="11" s="1"/>
  <c r="AB36" i="11" s="1"/>
  <c r="M35" i="33" s="1"/>
  <c r="H42" i="30"/>
  <c r="R36" i="11" l="1"/>
  <c r="U36" i="11"/>
  <c r="H43" i="30" l="1"/>
  <c r="S37" i="11"/>
  <c r="T37" i="11" s="1"/>
  <c r="AA37" i="11" s="1"/>
  <c r="AB37" i="11" s="1"/>
  <c r="M36" i="33" s="1"/>
  <c r="H43" i="31"/>
  <c r="R37" i="11" l="1"/>
  <c r="U37" i="11"/>
  <c r="H44" i="30" l="1"/>
  <c r="H44" i="31"/>
  <c r="S38" i="11"/>
  <c r="T38" i="11" s="1"/>
  <c r="AA38" i="11" s="1"/>
  <c r="AB38" i="11" s="1"/>
  <c r="M37" i="33" s="1"/>
  <c r="R38" i="11" l="1"/>
  <c r="U38" i="11"/>
  <c r="H45" i="30" l="1"/>
  <c r="S39" i="11"/>
  <c r="T39" i="11" s="1"/>
  <c r="AA39" i="11" s="1"/>
  <c r="AB39" i="11" s="1"/>
  <c r="M38" i="33" s="1"/>
  <c r="H45" i="31"/>
  <c r="R39" i="11" l="1"/>
  <c r="U39" i="11"/>
  <c r="H46" i="30" l="1"/>
  <c r="H46" i="31"/>
  <c r="S40" i="11"/>
  <c r="T40" i="11" s="1"/>
  <c r="AA40" i="11" s="1"/>
  <c r="AB40" i="11" s="1"/>
  <c r="M39" i="33" s="1"/>
  <c r="R40" i="11" l="1"/>
  <c r="H47" i="31" s="1"/>
  <c r="S41" i="11"/>
  <c r="T41" i="11" s="1"/>
  <c r="AA41" i="11" s="1"/>
  <c r="AB41" i="11" s="1"/>
  <c r="M40" i="33" s="1"/>
  <c r="U40" i="11"/>
  <c r="U41" i="11" l="1"/>
  <c r="H47" i="30"/>
  <c r="R41" i="11"/>
  <c r="H48" i="30" l="1"/>
  <c r="H48" i="31"/>
  <c r="S42" i="11"/>
  <c r="T42" i="11" s="1"/>
  <c r="AA42" i="11" s="1"/>
  <c r="AB42" i="11" s="1"/>
  <c r="M41" i="33" s="1"/>
  <c r="U42" i="11" l="1"/>
  <c r="R42" i="11"/>
  <c r="H49" i="30" l="1"/>
  <c r="S43" i="11"/>
  <c r="T43" i="11" s="1"/>
  <c r="AA43" i="11" s="1"/>
  <c r="AB43" i="11" s="1"/>
  <c r="M42" i="33" s="1"/>
  <c r="H49" i="31"/>
  <c r="U43" i="11" l="1"/>
  <c r="H50" i="30" s="1"/>
  <c r="R43" i="11"/>
  <c r="S44" i="11" l="1"/>
  <c r="T44" i="11" s="1"/>
  <c r="H50" i="31"/>
  <c r="U44" i="11" l="1"/>
  <c r="AA44" i="11"/>
  <c r="R44" i="11"/>
  <c r="S45" i="11" l="1"/>
  <c r="T45" i="11" s="1"/>
  <c r="R45" i="11" s="1"/>
  <c r="H51" i="31"/>
  <c r="AB44" i="11"/>
  <c r="M43" i="33" s="1"/>
  <c r="H51" i="30"/>
  <c r="S46" i="11" l="1"/>
  <c r="T46" i="11" s="1"/>
  <c r="R46" i="11" s="1"/>
  <c r="H52" i="31"/>
  <c r="AA45" i="11"/>
  <c r="U45" i="11"/>
  <c r="S47" i="11" l="1"/>
  <c r="T47" i="11" s="1"/>
  <c r="R47" i="11" s="1"/>
  <c r="H53" i="31"/>
  <c r="AB45" i="11"/>
  <c r="M44" i="33" s="1"/>
  <c r="AA46" i="11"/>
  <c r="U46" i="11"/>
  <c r="H52" i="30"/>
  <c r="H54" i="31" l="1"/>
  <c r="S48" i="11"/>
  <c r="T48" i="11" s="1"/>
  <c r="R48" i="11" s="1"/>
  <c r="U47" i="11"/>
  <c r="H53" i="30"/>
  <c r="AB46" i="11"/>
  <c r="M45" i="33" s="1"/>
  <c r="AA47" i="11"/>
  <c r="S49" i="11" l="1"/>
  <c r="T49" i="11" s="1"/>
  <c r="R49" i="11" s="1"/>
  <c r="H56" i="31" s="1"/>
  <c r="H55" i="31"/>
  <c r="U48" i="11"/>
  <c r="H54" i="30"/>
  <c r="AB47" i="11"/>
  <c r="M46" i="33" s="1"/>
  <c r="AA48" i="11"/>
  <c r="S50" i="11" l="1"/>
  <c r="T50" i="11" s="1"/>
  <c r="R50" i="11" s="1"/>
  <c r="H57" i="31" s="1"/>
  <c r="U49" i="11"/>
  <c r="H55" i="30"/>
  <c r="AA49" i="11"/>
  <c r="AB48" i="11"/>
  <c r="M47" i="33" s="1"/>
  <c r="S51" i="11" l="1"/>
  <c r="T51" i="11" s="1"/>
  <c r="R51" i="11" s="1"/>
  <c r="H58" i="31" s="1"/>
  <c r="U50" i="11"/>
  <c r="H56" i="30"/>
  <c r="AA50" i="11"/>
  <c r="AB49" i="11"/>
  <c r="M48" i="33" s="1"/>
  <c r="U51" i="11" l="1"/>
  <c r="H57" i="30"/>
  <c r="S52" i="11"/>
  <c r="T52" i="11" s="1"/>
  <c r="R52" i="11" s="1"/>
  <c r="H59" i="31" s="1"/>
  <c r="AA51" i="11"/>
  <c r="AB50" i="11"/>
  <c r="M49" i="33" s="1"/>
  <c r="S53" i="11" l="1"/>
  <c r="T53" i="11" s="1"/>
  <c r="R53" i="11" s="1"/>
  <c r="H60" i="31" s="1"/>
  <c r="AB51" i="11"/>
  <c r="M50" i="33" s="1"/>
  <c r="AA52" i="11"/>
  <c r="U52" i="11"/>
  <c r="H58" i="30"/>
  <c r="S54" i="11" l="1"/>
  <c r="T54" i="11" s="1"/>
  <c r="R54" i="11" s="1"/>
  <c r="H61" i="31" s="1"/>
  <c r="U53" i="11"/>
  <c r="H59" i="30"/>
  <c r="AA53" i="11"/>
  <c r="AB52" i="11"/>
  <c r="M51" i="33" s="1"/>
  <c r="S55" i="11" l="1"/>
  <c r="T55" i="11" s="1"/>
  <c r="R55" i="11" s="1"/>
  <c r="H62" i="31" s="1"/>
  <c r="B158" i="17" s="1"/>
  <c r="U54" i="11"/>
  <c r="H60" i="30"/>
  <c r="AA54" i="11"/>
  <c r="AB53" i="11"/>
  <c r="M52" i="33" s="1"/>
  <c r="U55" i="11" l="1"/>
  <c r="H62" i="30" s="1"/>
  <c r="B151" i="17" s="1"/>
  <c r="H61" i="30"/>
  <c r="AA55" i="11"/>
  <c r="AB55" i="11" s="1"/>
  <c r="M54" i="33" s="1"/>
  <c r="AB54" i="11"/>
  <c r="M53"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Nyholm Tanja</author>
  </authors>
  <commentList>
    <comment ref="A19" authorId="0" shapeId="0" xr:uid="{00000000-0006-0000-0200-000001000000}">
      <text>
        <r>
          <rPr>
            <b/>
            <sz val="9"/>
            <color indexed="81"/>
            <rFont val="Tahoma"/>
            <family val="2"/>
          </rPr>
          <t>Nyholm Tanja:</t>
        </r>
        <r>
          <rPr>
            <sz val="9"/>
            <color indexed="81"/>
            <rFont val="Tahoma"/>
            <family val="2"/>
          </rPr>
          <t xml:space="preserve">
Fill in measures that you would like to calculate.</t>
        </r>
      </text>
    </comment>
    <comment ref="A21" authorId="0" shapeId="0" xr:uid="{00000000-0006-0000-0200-000002000000}">
      <text>
        <r>
          <rPr>
            <b/>
            <sz val="9"/>
            <color indexed="81"/>
            <rFont val="Tahoma"/>
            <family val="2"/>
          </rPr>
          <t>Nyholm Tanja:</t>
        </r>
        <r>
          <rPr>
            <sz val="9"/>
            <color indexed="81"/>
            <rFont val="Tahoma"/>
            <family val="2"/>
          </rPr>
          <t xml:space="preserve">
Fill in year between 1 and 50</t>
        </r>
      </text>
    </comment>
    <comment ref="A28" authorId="0" shapeId="0" xr:uid="{00000000-0006-0000-0200-000003000000}">
      <text>
        <r>
          <rPr>
            <b/>
            <sz val="9"/>
            <color indexed="81"/>
            <rFont val="Tahoma"/>
            <family val="2"/>
          </rPr>
          <t>Nyholm Tanja:</t>
        </r>
        <r>
          <rPr>
            <sz val="9"/>
            <color indexed="81"/>
            <rFont val="Tahoma"/>
            <family val="2"/>
          </rPr>
          <t xml:space="preserve">
Decrease(-) or increase(+) of purchased amount of electricity (kWh/a) based on the measure
</t>
        </r>
      </text>
    </comment>
    <comment ref="A40" authorId="0" shapeId="0" xr:uid="{00000000-0006-0000-0200-000004000000}">
      <text>
        <r>
          <rPr>
            <b/>
            <sz val="9"/>
            <color indexed="81"/>
            <rFont val="Tahoma"/>
            <family val="2"/>
          </rPr>
          <t>Nyholm Tanja:</t>
        </r>
        <r>
          <rPr>
            <sz val="9"/>
            <color indexed="81"/>
            <rFont val="Tahoma"/>
            <family val="2"/>
          </rPr>
          <t xml:space="preserve">
Decrease(-) or increase(+) of purchased amount of heating energy
 (kWh/a) based on the measure
 the measure
</t>
        </r>
      </text>
    </comment>
    <comment ref="A52" authorId="0" shapeId="0" xr:uid="{00000000-0006-0000-0200-000005000000}">
      <text>
        <r>
          <rPr>
            <b/>
            <sz val="9"/>
            <color indexed="81"/>
            <rFont val="Tahoma"/>
            <family val="2"/>
          </rPr>
          <t>Nyholm Tanja:</t>
        </r>
        <r>
          <rPr>
            <sz val="9"/>
            <color indexed="81"/>
            <rFont val="Tahoma"/>
            <family val="2"/>
          </rPr>
          <t xml:space="preserve">
Decrease(-) or increase(+) of purchased amount of cooling energy
 (kWh/a) based on the 
measure
</t>
        </r>
      </text>
    </comment>
    <comment ref="A64" authorId="0" shapeId="0" xr:uid="{00000000-0006-0000-0200-000006000000}">
      <text>
        <r>
          <rPr>
            <b/>
            <sz val="9"/>
            <color indexed="81"/>
            <rFont val="Tahoma"/>
            <family val="2"/>
          </rPr>
          <t>Nyholm Tanja:</t>
        </r>
        <r>
          <rPr>
            <sz val="9"/>
            <color indexed="81"/>
            <rFont val="Tahoma"/>
            <family val="2"/>
          </rPr>
          <t xml:space="preserve">
Decrease(-) or increase(+) of purchased amount of water
 (kWh/a) based on the measure
</t>
        </r>
      </text>
    </comment>
    <comment ref="A75" authorId="0" shapeId="0" xr:uid="{00000000-0006-0000-0200-000007000000}">
      <text>
        <r>
          <rPr>
            <b/>
            <sz val="9"/>
            <color indexed="81"/>
            <rFont val="Tahoma"/>
            <family val="2"/>
          </rPr>
          <t>Nyholm Tanja:</t>
        </r>
        <r>
          <rPr>
            <sz val="9"/>
            <color indexed="81"/>
            <rFont val="Tahoma"/>
            <family val="2"/>
          </rPr>
          <t xml:space="preserve">
Estimate the maintenance cost of measure per year.</t>
        </r>
      </text>
    </comment>
    <comment ref="A77" authorId="0" shapeId="0" xr:uid="{00000000-0006-0000-0200-000008000000}">
      <text>
        <r>
          <rPr>
            <b/>
            <sz val="9"/>
            <color indexed="81"/>
            <rFont val="Tahoma"/>
            <family val="2"/>
          </rPr>
          <t>Nyholm Tanja:</t>
        </r>
        <r>
          <rPr>
            <sz val="9"/>
            <color indexed="81"/>
            <rFont val="Tahoma"/>
            <family val="2"/>
          </rPr>
          <t xml:space="preserve">
If no subsidies granted for measure, insert value of 0.
</t>
        </r>
      </text>
    </comment>
    <comment ref="A79" authorId="0" shapeId="0" xr:uid="{00000000-0006-0000-0200-000009000000}">
      <text>
        <r>
          <rPr>
            <b/>
            <sz val="9"/>
            <color indexed="81"/>
            <rFont val="Tahoma"/>
            <family val="2"/>
          </rPr>
          <t>Nyholm Tanja:</t>
        </r>
        <r>
          <rPr>
            <sz val="9"/>
            <color indexed="81"/>
            <rFont val="Tahoma"/>
            <family val="2"/>
          </rPr>
          <t xml:space="preserve">
If not, insert value as "0"
</t>
        </r>
      </text>
    </comment>
    <comment ref="A81" authorId="0" shapeId="0" xr:uid="{00000000-0006-0000-0200-00000A000000}">
      <text>
        <r>
          <rPr>
            <b/>
            <sz val="9"/>
            <color indexed="81"/>
            <rFont val="Tahoma"/>
            <family val="2"/>
          </rPr>
          <t>Nyholm Tanja:</t>
        </r>
        <r>
          <rPr>
            <sz val="9"/>
            <color indexed="81"/>
            <rFont val="Tahoma"/>
            <family val="2"/>
          </rPr>
          <t xml:space="preserve">
usually between 2 % and 7 % for energy efficiency measures</t>
        </r>
      </text>
    </comment>
    <comment ref="A85" authorId="0" shapeId="0" xr:uid="{00000000-0006-0000-0200-00000B000000}">
      <text>
        <r>
          <rPr>
            <b/>
            <sz val="9"/>
            <color indexed="81"/>
            <rFont val="Tahoma"/>
            <family val="2"/>
          </rPr>
          <t>Nyholm Tanja:</t>
        </r>
        <r>
          <rPr>
            <sz val="9"/>
            <color indexed="81"/>
            <rFont val="Tahoma"/>
            <family val="2"/>
          </rPr>
          <t xml:space="preserve">
Estimate for costs due to bad indoor air  quality (if indoor air quality will became better due to measure) Decrease (-) or increase (+) costs.
 In Finland we have estimated, that costs are about 82€/human.
 If not, insert value as ”0"
Observe, that this value affects only to “Payback time 2”</t>
        </r>
      </text>
    </comment>
    <comment ref="A87" authorId="0" shapeId="0" xr:uid="{00000000-0006-0000-0200-00000C000000}">
      <text>
        <r>
          <rPr>
            <b/>
            <sz val="9"/>
            <color indexed="81"/>
            <rFont val="Tahoma"/>
            <family val="2"/>
          </rPr>
          <t>Nyholm Tanja:</t>
        </r>
        <r>
          <rPr>
            <sz val="9"/>
            <color indexed="81"/>
            <rFont val="Tahoma"/>
            <family val="2"/>
          </rPr>
          <t xml:space="preserve">
Observe, that this value affects only to the “Non-energy benefits”</t>
        </r>
      </text>
    </comment>
    <comment ref="A93" authorId="0" shapeId="0" xr:uid="{00000000-0006-0000-0200-00000D000000}">
      <text>
        <r>
          <rPr>
            <b/>
            <sz val="9"/>
            <color indexed="81"/>
            <rFont val="Tahoma"/>
            <family val="2"/>
          </rPr>
          <t>Nyholm Tanja:</t>
        </r>
        <r>
          <rPr>
            <sz val="9"/>
            <color indexed="81"/>
            <rFont val="Tahoma"/>
            <family val="2"/>
          </rPr>
          <t xml:space="preserve">
Decrease(+) or increase(-) </t>
        </r>
      </text>
    </comment>
    <comment ref="A95" authorId="0" shapeId="0" xr:uid="{00000000-0006-0000-0200-00000E000000}">
      <text>
        <r>
          <rPr>
            <b/>
            <sz val="9"/>
            <color indexed="81"/>
            <rFont val="Tahoma"/>
            <family val="2"/>
          </rPr>
          <t>Nyholm Tanja:</t>
        </r>
        <r>
          <rPr>
            <sz val="9"/>
            <color indexed="81"/>
            <rFont val="Tahoma"/>
            <family val="2"/>
          </rPr>
          <t xml:space="preserve">
Decrease(+) or increase(-) </t>
        </r>
      </text>
    </comment>
    <comment ref="A99" authorId="0" shapeId="0" xr:uid="{00000000-0006-0000-0200-00000F000000}">
      <text>
        <r>
          <rPr>
            <b/>
            <sz val="9"/>
            <color indexed="81"/>
            <rFont val="Tahoma"/>
            <family val="2"/>
          </rPr>
          <t>Nyholm Tanja:</t>
        </r>
        <r>
          <rPr>
            <sz val="9"/>
            <color indexed="81"/>
            <rFont val="Tahoma"/>
            <family val="2"/>
          </rPr>
          <t xml:space="preserve">
Decrease(+) or increase(-) </t>
        </r>
      </text>
    </comment>
    <comment ref="A103" authorId="0" shapeId="0" xr:uid="{00000000-0006-0000-0200-000010000000}">
      <text>
        <r>
          <rPr>
            <b/>
            <sz val="9"/>
            <color indexed="81"/>
            <rFont val="Tahoma"/>
            <family val="2"/>
          </rPr>
          <t>Nyholm Tanja:</t>
        </r>
        <r>
          <rPr>
            <sz val="9"/>
            <color indexed="81"/>
            <rFont val="Tahoma"/>
            <family val="2"/>
          </rPr>
          <t xml:space="preserve">
</t>
        </r>
      </text>
    </comment>
    <comment ref="A106" authorId="0" shapeId="0" xr:uid="{00000000-0006-0000-0200-000011000000}">
      <text>
        <r>
          <rPr>
            <b/>
            <sz val="9"/>
            <color indexed="81"/>
            <rFont val="Tahoma"/>
            <charset val="1"/>
          </rPr>
          <t>Nyholm Tanja:</t>
        </r>
        <r>
          <rPr>
            <sz val="9"/>
            <color indexed="81"/>
            <rFont val="Tahoma"/>
            <charset val="1"/>
          </rPr>
          <t xml:space="preserve">
Costs without interest rates</t>
        </r>
      </text>
    </comment>
    <comment ref="A114" authorId="0" shapeId="0" xr:uid="{00000000-0006-0000-0200-000012000000}">
      <text>
        <r>
          <rPr>
            <b/>
            <sz val="9"/>
            <color indexed="81"/>
            <rFont val="Tahoma"/>
            <charset val="1"/>
          </rPr>
          <t>Nyholm Tanja:</t>
        </r>
        <r>
          <rPr>
            <sz val="9"/>
            <color indexed="81"/>
            <rFont val="Tahoma"/>
            <charset val="1"/>
          </rPr>
          <t xml:space="preserve">
Costs without interest rates</t>
        </r>
      </text>
    </comment>
    <comment ref="A116" authorId="0" shapeId="0" xr:uid="{00000000-0006-0000-0200-000013000000}">
      <text>
        <r>
          <rPr>
            <b/>
            <sz val="9"/>
            <color indexed="81"/>
            <rFont val="Tahoma"/>
            <family val="2"/>
          </rPr>
          <t>Nyholm Tanja:</t>
        </r>
        <r>
          <rPr>
            <sz val="9"/>
            <color indexed="81"/>
            <rFont val="Tahoma"/>
            <family val="2"/>
          </rPr>
          <t xml:space="preserve">
= Decrease costs during Life cycle - Increase costs during Life cycle</t>
        </r>
      </text>
    </comment>
    <comment ref="A131" authorId="0" shapeId="0" xr:uid="{00000000-0006-0000-0200-000014000000}">
      <text>
        <r>
          <rPr>
            <b/>
            <sz val="9"/>
            <color indexed="81"/>
            <rFont val="Tahoma"/>
            <family val="2"/>
          </rPr>
          <t>Nyholm Tanja:</t>
        </r>
        <r>
          <rPr>
            <sz val="9"/>
            <color indexed="81"/>
            <rFont val="Tahoma"/>
            <family val="2"/>
          </rPr>
          <t xml:space="preserve">
Based on the given average value of non- energy benefits (B71/C71) and average amount of persons in the building(B74/C74). </t>
        </r>
      </text>
    </comment>
  </commentList>
</comments>
</file>

<file path=xl/sharedStrings.xml><?xml version="1.0" encoding="utf-8"?>
<sst xmlns="http://schemas.openxmlformats.org/spreadsheetml/2006/main" count="475" uniqueCount="307">
  <si>
    <t>Years</t>
  </si>
  <si>
    <t>Cash flow</t>
  </si>
  <si>
    <t>Underground thermal</t>
  </si>
  <si>
    <t>Ventilation</t>
  </si>
  <si>
    <t>Inputs</t>
  </si>
  <si>
    <t>Lightning for LED-lamps (100 lamps)</t>
  </si>
  <si>
    <t>Automation, estimating</t>
  </si>
  <si>
    <t>Solar panels(10kW, 100m2(10m2/kW))</t>
  </si>
  <si>
    <t>Solar collectors(30 m2/600€/m2)/500 kWh/m2), more because of 2m2/human?</t>
  </si>
  <si>
    <t>Decrease of energy (kWh/a)</t>
  </si>
  <si>
    <t>Price(€)/pcs</t>
  </si>
  <si>
    <t>1 pcs apartment house</t>
  </si>
  <si>
    <t>Diskount factor</t>
  </si>
  <si>
    <t>Cost savings saved annually</t>
  </si>
  <si>
    <t>Costs with maintenance</t>
  </si>
  <si>
    <t>Decrease of costs, noticed discont value €/a</t>
  </si>
  <si>
    <t>Cost savings(disk) saved annually</t>
  </si>
  <si>
    <t>Life cycle result (€)</t>
  </si>
  <si>
    <t>Ventilation: intelligent ventilation valve</t>
  </si>
  <si>
    <t>Professionals estimate the decrease of energy and solution prices</t>
  </si>
  <si>
    <t xml:space="preserve">In total </t>
  </si>
  <si>
    <t>Maintenance costs (%/price/a)</t>
  </si>
  <si>
    <t>Decrease/Increase(-) (kWh/a)</t>
  </si>
  <si>
    <t>Electricity amount changes</t>
  </si>
  <si>
    <t>Heating amount changes</t>
  </si>
  <si>
    <t>Oil/ District heating/electricity</t>
  </si>
  <si>
    <t>Using electricity???</t>
  </si>
  <si>
    <t>Cost savings, prices not change, annually</t>
  </si>
  <si>
    <t>When energyprice changing</t>
  </si>
  <si>
    <t>Decrease of costs, heating €/a</t>
  </si>
  <si>
    <t>Decrease of costs, electricity, €/a</t>
  </si>
  <si>
    <t>Decrease of CO2-emissions</t>
  </si>
  <si>
    <t>Total tCO2</t>
  </si>
  <si>
    <t>, total (kgCO2)</t>
  </si>
  <si>
    <t>Maintenance</t>
  </si>
  <si>
    <t>interest</t>
  </si>
  <si>
    <t>Interest</t>
  </si>
  <si>
    <t>Maintenance cost</t>
  </si>
  <si>
    <t>Cash flow ep not change,discost(maint, energ, interest)</t>
  </si>
  <si>
    <t>NPV 2(%), ep changes</t>
  </si>
  <si>
    <t>NPV 2 (%)</t>
  </si>
  <si>
    <t>NPV 1, %</t>
  </si>
  <si>
    <t>Cash flow,ep changes</t>
  </si>
  <si>
    <t>ROI 2 %</t>
  </si>
  <si>
    <t>ROI 2 %, ep change</t>
  </si>
  <si>
    <t>Discont maintenance</t>
  </si>
  <si>
    <t>Discont Maintenance</t>
  </si>
  <si>
    <t>ROI 1 %, Ep changes</t>
  </si>
  <si>
    <t>ROI 1 %</t>
  </si>
  <si>
    <t>Year</t>
  </si>
  <si>
    <t>Cost savings, annually</t>
  </si>
  <si>
    <t>Decrease of costs, noticed discont €/a</t>
  </si>
  <si>
    <t>Interest reality</t>
  </si>
  <si>
    <t>discont(maintenance, energy, interest)</t>
  </si>
  <si>
    <t>Heating system</t>
  </si>
  <si>
    <t>District heating</t>
  </si>
  <si>
    <t>Costs-energysubsidies</t>
  </si>
  <si>
    <t>Costs- Energy subsidies</t>
  </si>
  <si>
    <t>Decrease of cost, energy prices not change</t>
  </si>
  <si>
    <t>Decrease cost energy price not change disc</t>
  </si>
  <si>
    <t>Decrease cost energy prices not change disc, annually</t>
  </si>
  <si>
    <t>Decrease cost energy prices not change disc</t>
  </si>
  <si>
    <t>Cash flow with interest, energy price changes</t>
  </si>
  <si>
    <t>NPV 1 %, energy price changes</t>
  </si>
  <si>
    <t>Casflow with interest, energy price not change</t>
  </si>
  <si>
    <t>Energy price not change</t>
  </si>
  <si>
    <t>Decrease cost energy price not change disc, annually</t>
  </si>
  <si>
    <t>Inputs (Fill in green cells)</t>
  </si>
  <si>
    <t>Price of Electricity (€/kWh)</t>
  </si>
  <si>
    <t>Maintenance costs/year (€/year)</t>
  </si>
  <si>
    <t>(€)</t>
  </si>
  <si>
    <t>energy prices change</t>
  </si>
  <si>
    <t xml:space="preserve">interest rate, energy saving and maintenance will be added to the end of the year </t>
  </si>
  <si>
    <t>interest rate, energy saving and maintenance will be added to the end of the year</t>
  </si>
  <si>
    <t>ROI "net cash flow"</t>
  </si>
  <si>
    <t>ROI "net cash flow"ep changes</t>
  </si>
  <si>
    <t>ROI "cash flow" ep change</t>
  </si>
  <si>
    <t>ROI "cash flow"</t>
  </si>
  <si>
    <t>Cash flow1</t>
  </si>
  <si>
    <t>Internal rate of return, IRR (%)</t>
  </si>
  <si>
    <t>Cash flow2</t>
  </si>
  <si>
    <t>Geothermal heat pump system</t>
  </si>
  <si>
    <t>date</t>
  </si>
  <si>
    <t>change</t>
  </si>
  <si>
    <t>Oil heating</t>
  </si>
  <si>
    <t>Drop down box</t>
  </si>
  <si>
    <t xml:space="preserve">Set "If sentences", that calculating will stop, when life cycle is ended. </t>
  </si>
  <si>
    <t>Cash flow 2</t>
  </si>
  <si>
    <t xml:space="preserve">Energy price </t>
  </si>
  <si>
    <t>Cash flow 1</t>
  </si>
  <si>
    <t xml:space="preserve">Drawing of charts will stop at same time, when life cycle is ended. </t>
  </si>
  <si>
    <t>Electricity</t>
  </si>
  <si>
    <t>Maintenance costs ( % of the investment cost/year)</t>
  </si>
  <si>
    <t>Ventilation system</t>
  </si>
  <si>
    <t>Exhaust ventilation without heat recovery</t>
  </si>
  <si>
    <t>10-20.10</t>
  </si>
  <si>
    <t>Errors fixing and other modifications</t>
  </si>
  <si>
    <t>1. Solution( solar panels) has been changed to ventilation renovation, that is assumed to do on same time with other renovation. Independent its too expensive to make</t>
  </si>
  <si>
    <t xml:space="preserve">Price of heating energy (€/kWh) </t>
  </si>
  <si>
    <t xml:space="preserve">Ventilation system with heat recovery </t>
  </si>
  <si>
    <t xml:space="preserve">(for example decrease health costs) </t>
  </si>
  <si>
    <t xml:space="preserve">Net Present Value, NPV (€) </t>
  </si>
  <si>
    <t xml:space="preserve">Price of cooling energy (€/kWh) </t>
  </si>
  <si>
    <t>Decrease of costs, cooling €/a</t>
  </si>
  <si>
    <t>Cooling system</t>
  </si>
  <si>
    <t>District cooling</t>
  </si>
  <si>
    <t>Modifing</t>
  </si>
  <si>
    <t>Cooling energy added</t>
  </si>
  <si>
    <t>Cash flow (€)</t>
  </si>
  <si>
    <t>Year_1</t>
  </si>
  <si>
    <t>Year_2</t>
  </si>
  <si>
    <t>Cashflow_2</t>
  </si>
  <si>
    <t>NPV_1</t>
  </si>
  <si>
    <t>NPV_2</t>
  </si>
  <si>
    <t>Year_1NPV</t>
  </si>
  <si>
    <t>Year_2NPV</t>
  </si>
  <si>
    <t>Year_1Cf</t>
  </si>
  <si>
    <t>Year_2Cf</t>
  </si>
  <si>
    <t>Year_1Payback</t>
  </si>
  <si>
    <t>Year_2Payback</t>
  </si>
  <si>
    <t>Payback_1</t>
  </si>
  <si>
    <t>Payback_2</t>
  </si>
  <si>
    <t>Payback_1_invest</t>
  </si>
  <si>
    <t>Payback_2_invest</t>
  </si>
  <si>
    <t>Year_1CO2</t>
  </si>
  <si>
    <t>Year_2CO2</t>
  </si>
  <si>
    <t>CO2_1</t>
  </si>
  <si>
    <t>CO2_2</t>
  </si>
  <si>
    <t>Return_on_investment_1</t>
  </si>
  <si>
    <t>Return_on_investment_2</t>
  </si>
  <si>
    <t>Return_on_investment_1ep_change</t>
  </si>
  <si>
    <t>Return_on_investment_2ep_change</t>
  </si>
  <si>
    <t>The automatic adaptation of the x-axis of the graph to the lenght of life cycle</t>
  </si>
  <si>
    <t>Added Cashflow of life cycle also to the second page</t>
  </si>
  <si>
    <t>When energy prices changing 2</t>
  </si>
  <si>
    <t>Pay back time (year)</t>
  </si>
  <si>
    <t>Modifing…….</t>
  </si>
  <si>
    <t xml:space="preserve">Pay back time 2 (year), includes the effects of non-energy benefit </t>
  </si>
  <si>
    <t>Cashflow_1</t>
  </si>
  <si>
    <t>Type of building</t>
  </si>
  <si>
    <t>An Energy effeciency measure</t>
  </si>
  <si>
    <t>change 2</t>
  </si>
  <si>
    <t>ELECTRICITY-DATA</t>
  </si>
  <si>
    <t>HEATING ENERGY- DATA</t>
  </si>
  <si>
    <t>Care/rest home/Hospital</t>
  </si>
  <si>
    <t>Sport/exercise center</t>
  </si>
  <si>
    <t>Church/religious building</t>
  </si>
  <si>
    <t>Commercial</t>
  </si>
  <si>
    <t>Housing/ Residential building</t>
  </si>
  <si>
    <t>Kindergarden/ School/ University</t>
  </si>
  <si>
    <t>Building identification (name or address)</t>
  </si>
  <si>
    <t>Total sum of the investment</t>
  </si>
  <si>
    <t>Price of water (€/m3)</t>
  </si>
  <si>
    <t>Decrease of cost, energy and water prices not change</t>
  </si>
  <si>
    <t>When energy and water prices change 1</t>
  </si>
  <si>
    <t>Decrease of costs, water, €/a</t>
  </si>
  <si>
    <t>POIS</t>
  </si>
  <si>
    <t>Option 2.Estimation for energy/water price change (% /year) after first year</t>
  </si>
  <si>
    <t>Finance interest rate (%/remaining investment/year)</t>
  </si>
  <si>
    <t>Present and future money will be comparable, when future money are discounted.</t>
  </si>
  <si>
    <t>Option 1.Estimation for energy/water price change (% /year) after first year</t>
  </si>
  <si>
    <t>Outputs:</t>
  </si>
  <si>
    <t xml:space="preserve">Both for electricity, heating systems energy and cooling energy </t>
  </si>
  <si>
    <t>Guidance for using tool</t>
  </si>
  <si>
    <r>
      <t>On the first page “</t>
    </r>
    <r>
      <rPr>
        <sz val="14"/>
        <color theme="1"/>
        <rFont val="Calibri"/>
        <family val="2"/>
        <scheme val="minor"/>
      </rPr>
      <t>Guidance for using tool”</t>
    </r>
  </si>
  <si>
    <r>
      <t xml:space="preserve">On the second page </t>
    </r>
    <r>
      <rPr>
        <sz val="14"/>
        <color theme="1"/>
        <rFont val="Calibri"/>
        <family val="2"/>
        <scheme val="minor"/>
      </rPr>
      <t>”Inputs and results”</t>
    </r>
  </si>
  <si>
    <t>·       Sensitivity analyse, if energy / water prices change in future</t>
  </si>
  <si>
    <r>
      <rPr>
        <b/>
        <sz val="11"/>
        <color theme="1"/>
        <rFont val="Calibri"/>
        <family val="2"/>
        <scheme val="minor"/>
      </rPr>
      <t>·       CO2-emissions of the  heating energy, electricity and cooling energy</t>
    </r>
    <r>
      <rPr>
        <sz val="11"/>
        <color theme="1"/>
        <rFont val="Calibri"/>
        <family val="2"/>
        <scheme val="minor"/>
      </rPr>
      <t xml:space="preserve"> (kgCO2/kWh).</t>
    </r>
  </si>
  <si>
    <r>
      <rPr>
        <b/>
        <sz val="11"/>
        <color theme="1"/>
        <rFont val="Calibri"/>
        <family val="2"/>
        <scheme val="minor"/>
      </rPr>
      <t>·       Energy prices</t>
    </r>
    <r>
      <rPr>
        <sz val="11"/>
        <color theme="1"/>
        <rFont val="Calibri"/>
        <family val="2"/>
        <scheme val="minor"/>
      </rPr>
      <t xml:space="preserve"> (€/kWh) for the heating system, electricity and cooling energy</t>
    </r>
  </si>
  <si>
    <r>
      <rPr>
        <b/>
        <sz val="11"/>
        <color theme="1"/>
        <rFont val="Calibri"/>
        <family val="2"/>
        <scheme val="minor"/>
      </rPr>
      <t xml:space="preserve">·       Water price </t>
    </r>
    <r>
      <rPr>
        <sz val="11"/>
        <color theme="1"/>
        <rFont val="Calibri"/>
        <family val="2"/>
        <scheme val="minor"/>
      </rPr>
      <t xml:space="preserve">(€/m3) </t>
    </r>
  </si>
  <si>
    <t>Discount rate %</t>
  </si>
  <si>
    <t>Outputs</t>
  </si>
  <si>
    <r>
      <t>Results during the life cycle, presented also with charts and numbers (on pages 3-7)</t>
    </r>
    <r>
      <rPr>
        <b/>
        <sz val="16"/>
        <color theme="1"/>
        <rFont val="Calibri"/>
        <family val="2"/>
        <scheme val="minor"/>
      </rPr>
      <t>:</t>
    </r>
  </si>
  <si>
    <r>
      <t>·     </t>
    </r>
    <r>
      <rPr>
        <b/>
        <sz val="11"/>
        <color theme="1"/>
        <rFont val="Calibri"/>
        <family val="2"/>
        <scheme val="minor"/>
      </rPr>
      <t xml:space="preserve">Payback time </t>
    </r>
    <r>
      <rPr>
        <sz val="11"/>
        <color theme="1"/>
        <rFont val="Calibri"/>
        <family val="2"/>
        <scheme val="minor"/>
      </rPr>
      <t>(year) (Investment cost divided by the annual savings (not interest rate))</t>
    </r>
  </si>
  <si>
    <r>
      <t>·     </t>
    </r>
    <r>
      <rPr>
        <b/>
        <sz val="11"/>
        <color theme="1"/>
        <rFont val="Calibri"/>
        <family val="2"/>
        <scheme val="minor"/>
      </rPr>
      <t xml:space="preserve">Net present value NPV </t>
    </r>
    <r>
      <rPr>
        <sz val="11"/>
        <color theme="1"/>
        <rFont val="Calibri"/>
        <family val="2"/>
        <scheme val="minor"/>
      </rPr>
      <t>(€) (All the future cash flows (in a given life cycle) discounted to present value)</t>
    </r>
  </si>
  <si>
    <r>
      <t xml:space="preserve">3. Package of charts </t>
    </r>
    <r>
      <rPr>
        <sz val="11"/>
        <color theme="1"/>
        <rFont val="Calibri"/>
        <family val="2"/>
        <scheme val="minor"/>
      </rPr>
      <t>(All charts on the same page)</t>
    </r>
  </si>
  <si>
    <r>
      <t>5. Net present value, NPV</t>
    </r>
    <r>
      <rPr>
        <sz val="11"/>
        <color theme="1"/>
        <rFont val="Calibri"/>
        <family val="2"/>
        <scheme val="minor"/>
      </rPr>
      <t xml:space="preserve"> = All the future cash flows (in a given life cycle) discounted to present value</t>
    </r>
  </si>
  <si>
    <r>
      <t>6. Simple payback time</t>
    </r>
    <r>
      <rPr>
        <sz val="11"/>
        <color theme="1"/>
        <rFont val="Calibri"/>
        <family val="2"/>
        <scheme val="minor"/>
      </rPr>
      <t xml:space="preserve"> = Investment cost divided by the annual savings (not interest rate)</t>
    </r>
  </si>
  <si>
    <t>After that you fill in details about your energy efficiency data (to the green cells):</t>
  </si>
  <si>
    <r>
      <rPr>
        <b/>
        <sz val="11"/>
        <color theme="1"/>
        <rFont val="Calibri"/>
        <family val="2"/>
        <scheme val="minor"/>
      </rPr>
      <t>· </t>
    </r>
    <r>
      <rPr>
        <sz val="11"/>
        <color theme="1"/>
        <rFont val="Calibri"/>
        <family val="2"/>
        <scheme val="minor"/>
      </rPr>
      <t>     </t>
    </r>
    <r>
      <rPr>
        <b/>
        <sz val="11"/>
        <color theme="1"/>
        <rFont val="Calibri"/>
        <family val="2"/>
        <scheme val="minor"/>
      </rPr>
      <t xml:space="preserve"> Investment cost of measures</t>
    </r>
    <r>
      <rPr>
        <sz val="11"/>
        <color theme="1"/>
        <rFont val="Calibri"/>
        <family val="2"/>
        <scheme val="minor"/>
      </rPr>
      <t xml:space="preserve"> (€) and estimated maintenance cost per year (% / investment costs / year).</t>
    </r>
  </si>
  <si>
    <t>Observe, that this value affects only to “Payback time 2”</t>
  </si>
  <si>
    <r>
      <rPr>
        <b/>
        <sz val="11"/>
        <color theme="1"/>
        <rFont val="Calibri"/>
        <family val="2"/>
        <scheme val="minor"/>
      </rPr>
      <t>·       Number of people in the building</t>
    </r>
    <r>
      <rPr>
        <sz val="11"/>
        <color theme="1"/>
        <rFont val="Calibri"/>
        <family val="2"/>
        <scheme val="minor"/>
      </rPr>
      <t xml:space="preserve"> (pcs)</t>
    </r>
  </si>
  <si>
    <t>Observe, that this value affects only to “Non-energy benefits”</t>
  </si>
  <si>
    <r>
      <rPr>
        <b/>
        <sz val="11"/>
        <color theme="1"/>
        <rFont val="Calibri"/>
        <family val="2"/>
        <scheme val="minor"/>
      </rPr>
      <t>·       Discount rate</t>
    </r>
    <r>
      <rPr>
        <sz val="11"/>
        <color theme="1"/>
        <rFont val="Calibri"/>
        <family val="2"/>
        <scheme val="minor"/>
      </rPr>
      <t xml:space="preserve"> (%) (which is usually between 2 % and 7 % for energy efficiency measures) </t>
    </r>
  </si>
  <si>
    <r>
      <rPr>
        <b/>
        <sz val="11"/>
        <color theme="1"/>
        <rFont val="Calibri"/>
        <family val="2"/>
        <scheme val="minor"/>
      </rPr>
      <t xml:space="preserve">·       Finance interest rate </t>
    </r>
    <r>
      <rPr>
        <sz val="11"/>
        <color theme="1"/>
        <rFont val="Calibri"/>
        <family val="2"/>
        <scheme val="minor"/>
      </rPr>
      <t xml:space="preserve">(%/remaining investment/year). If not, insert value as "0". </t>
    </r>
  </si>
  <si>
    <r>
      <t>·     </t>
    </r>
    <r>
      <rPr>
        <b/>
        <sz val="11"/>
        <color theme="1"/>
        <rFont val="Calibri"/>
        <family val="2"/>
        <scheme val="minor"/>
      </rPr>
      <t xml:space="preserve">Payback time 2 </t>
    </r>
    <r>
      <rPr>
        <sz val="11"/>
        <color theme="1"/>
        <rFont val="Calibri"/>
        <family val="2"/>
        <scheme val="minor"/>
      </rPr>
      <t>(year), includes also the effects of non-energy benefits (reduction of health costs due to better indoor air quality etc.)</t>
    </r>
  </si>
  <si>
    <r>
      <t>·     </t>
    </r>
    <r>
      <rPr>
        <b/>
        <sz val="11"/>
        <color theme="1"/>
        <rFont val="Calibri"/>
        <family val="2"/>
        <scheme val="minor"/>
      </rPr>
      <t xml:space="preserve">Cash flow </t>
    </r>
    <r>
      <rPr>
        <sz val="11"/>
        <color theme="1"/>
        <rFont val="Calibri"/>
        <family val="2"/>
        <scheme val="minor"/>
      </rPr>
      <t>(€) (Annual profits (not discounted) – (investment costs + finance costs + other costs))</t>
    </r>
  </si>
  <si>
    <r>
      <t>4. Cash flow analysis</t>
    </r>
    <r>
      <rPr>
        <sz val="11"/>
        <color theme="1"/>
        <rFont val="Calibri"/>
        <family val="2"/>
        <scheme val="minor"/>
      </rPr>
      <t xml:space="preserve"> = Annual profits (not discounted) – (investment costs + finance costs + other costs).</t>
    </r>
  </si>
  <si>
    <r>
      <rPr>
        <b/>
        <sz val="11"/>
        <color theme="1"/>
        <rFont val="Calibri"/>
        <family val="2"/>
        <scheme val="minor"/>
      </rPr>
      <t>Notice: Results with interest rate</t>
    </r>
    <r>
      <rPr>
        <sz val="11"/>
        <color theme="1"/>
        <rFont val="Calibri"/>
        <family val="2"/>
        <scheme val="minor"/>
      </rPr>
      <t xml:space="preserve"> = Annual Calculating the remaining investment cost of measure = </t>
    </r>
  </si>
  <si>
    <t>Some other Non-energy benefits?</t>
  </si>
  <si>
    <r>
      <t>Includes the price of water and</t>
    </r>
    <r>
      <rPr>
        <b/>
        <sz val="11"/>
        <color theme="1"/>
        <rFont val="Calibri"/>
        <family val="2"/>
        <scheme val="minor"/>
      </rPr>
      <t xml:space="preserve"> </t>
    </r>
    <r>
      <rPr>
        <sz val="11"/>
        <color theme="1"/>
        <rFont val="Calibri"/>
        <family val="2"/>
        <scheme val="minor"/>
      </rPr>
      <t>waste water</t>
    </r>
  </si>
  <si>
    <t>Investment cost of measures(€)</t>
  </si>
  <si>
    <t>COOLING ENERGY- DATA</t>
  </si>
  <si>
    <t>WATER CONSUMPTION- DATA</t>
  </si>
  <si>
    <t>CO2-emissions of the electricity (kgCO2/kWh)</t>
  </si>
  <si>
    <t>CO2-emissions of the heating energy (kgCO2/kWh)</t>
  </si>
  <si>
    <t>CO2-emissions of the cooling energy (kgCO2/kWh)</t>
  </si>
  <si>
    <t>Number of people in the building (pcs)</t>
  </si>
  <si>
    <t>Option 1. Estimation for electricity price change  (%/year)</t>
  </si>
  <si>
    <t>Option 2. Estimation for electricity price change  (%/year)</t>
  </si>
  <si>
    <t>Option 1. Estimation for heating energy price change  (%/year)</t>
  </si>
  <si>
    <t>Option 2. Estimation for heating energy price change  (%/year)</t>
  </si>
  <si>
    <t>Option 1. Estimation for cooling energy price change  (%/year)</t>
  </si>
  <si>
    <t>Option 2. Estimation for cooling energy price change  (%/year)</t>
  </si>
  <si>
    <t>Option 1. Estimation for water price change  (%/year)</t>
  </si>
  <si>
    <t>Option 2. Estimation for water price change  (%/year)</t>
  </si>
  <si>
    <t>Investment cost of measures - energy subsidies (€)</t>
  </si>
  <si>
    <t>Reduction of CO2- emissions (kgCO2/year)</t>
  </si>
  <si>
    <t>Net Present Value, NPV (€), Option 1. Energy/water prices change</t>
  </si>
  <si>
    <t>Net Present Value, NPV (€), Option 2. Energy/water prices change</t>
  </si>
  <si>
    <t>Internal rate of return, IRR (%), Option 1. Energy/water prices change</t>
  </si>
  <si>
    <t>Internal rate of return, IRR (%), Option 2. Energy/water prices change</t>
  </si>
  <si>
    <t>Cash flow (€), Option 1. Energy/water prices change</t>
  </si>
  <si>
    <t>Cash flow (€), Option 2. Energy/water prices change</t>
  </si>
  <si>
    <t>Decrease energy/water costs (€)</t>
  </si>
  <si>
    <t>Payback_1 Decrease energy/water costs (€)</t>
  </si>
  <si>
    <t>Payback_2 Decrease energy/water costs (€)</t>
  </si>
  <si>
    <t>Cashflow_2 Option 2. Energy/water prices change</t>
  </si>
  <si>
    <t>Cashflow_1 Option 2. Energy/water prices change</t>
  </si>
  <si>
    <t>Cashflow_2 Option 1. Energy/water prices change</t>
  </si>
  <si>
    <t>Cashflow_1_Option 1. Energy/water prices change</t>
  </si>
  <si>
    <t>NPV_1 Option 1. Energy/water prices change</t>
  </si>
  <si>
    <t>NPV_2 Option 1. Energy/water prices change</t>
  </si>
  <si>
    <t>NPV_1 Option 2. Energy/water prices change</t>
  </si>
  <si>
    <t>NPV_2 Option 2. Energy/water prices change</t>
  </si>
  <si>
    <t>Option 1. Energy/water prices change</t>
  </si>
  <si>
    <t>Option 2. Energy/water prices change</t>
  </si>
  <si>
    <t>Other building</t>
  </si>
  <si>
    <t>Heat pump</t>
  </si>
  <si>
    <t>Other</t>
  </si>
  <si>
    <t>Ventilation with heat recovery</t>
  </si>
  <si>
    <t>None</t>
  </si>
  <si>
    <r>
      <t xml:space="preserve">·       An Energy effeciency measure: </t>
    </r>
    <r>
      <rPr>
        <sz val="11"/>
        <color theme="1"/>
        <rFont val="Calibri"/>
        <family val="2"/>
        <scheme val="minor"/>
      </rPr>
      <t>fill in measures that you would like to calculate.</t>
    </r>
  </si>
  <si>
    <t>Lenght of life cycle/ / Technical lifetime (years)</t>
  </si>
  <si>
    <t>COST OF THE MEASURE</t>
  </si>
  <si>
    <t>NON-ENERGY AFFECTS</t>
  </si>
  <si>
    <t>DECREASE ENERGY/ WATER COSTS</t>
  </si>
  <si>
    <t>INCREASE COSTS</t>
  </si>
  <si>
    <t>REDUCTION OF CO2-EMISSIONS</t>
  </si>
  <si>
    <t>NON- ENERGY BENEFITS</t>
  </si>
  <si>
    <t xml:space="preserve">COSTS OF LIFE CYCLE </t>
  </si>
  <si>
    <t>COSTS OF THE MEASURE</t>
  </si>
  <si>
    <t>NON-ENERGY IMPACTS</t>
  </si>
  <si>
    <t>Decrease of heating cost(€/year)</t>
  </si>
  <si>
    <t>Decrease of electricity cost (€/year)</t>
  </si>
  <si>
    <t>Decrease of cooling cost (€/year)</t>
  </si>
  <si>
    <t>Total decrease of energy costs/year (€/year)</t>
  </si>
  <si>
    <t>Decrease of water cost (€/year)</t>
  </si>
  <si>
    <r>
      <t>Total decrease of costs during</t>
    </r>
    <r>
      <rPr>
        <b/>
        <sz val="11"/>
        <rFont val="Calibri"/>
        <family val="2"/>
        <scheme val="minor"/>
      </rPr>
      <t xml:space="preserve"> Life-cycle  (€)</t>
    </r>
  </si>
  <si>
    <r>
      <t>Increase of costs during</t>
    </r>
    <r>
      <rPr>
        <b/>
        <sz val="11"/>
        <rFont val="Calibri"/>
        <family val="2"/>
        <scheme val="minor"/>
      </rPr>
      <t xml:space="preserve"> Life-cycle  (€)</t>
    </r>
  </si>
  <si>
    <t>Reduction of CO2- emissions during the Life cycle (kgCO2)</t>
  </si>
  <si>
    <t>FINANCIAL RESULTS</t>
  </si>
  <si>
    <t>Decrease cost due the Non-energy benefit (€/year)</t>
  </si>
  <si>
    <t>·       Length of life cycle/ Technical lifetime (years between 1-50).</t>
  </si>
  <si>
    <r>
      <t>If</t>
    </r>
    <r>
      <rPr>
        <b/>
        <sz val="11"/>
        <color theme="1"/>
        <rFont val="Calibri"/>
        <family val="2"/>
        <scheme val="minor"/>
      </rPr>
      <t xml:space="preserve"> </t>
    </r>
    <r>
      <rPr>
        <sz val="11"/>
        <color theme="1"/>
        <rFont val="Calibri"/>
        <family val="2"/>
        <scheme val="minor"/>
      </rPr>
      <t>the solution</t>
    </r>
    <r>
      <rPr>
        <b/>
        <sz val="11"/>
        <color theme="1"/>
        <rFont val="Calibri"/>
        <family val="2"/>
        <scheme val="minor"/>
      </rPr>
      <t xml:space="preserve"> decreases</t>
    </r>
    <r>
      <rPr>
        <sz val="11"/>
        <color theme="1"/>
        <rFont val="Calibri"/>
        <family val="2"/>
        <scheme val="minor"/>
      </rPr>
      <t xml:space="preserve"> purchased</t>
    </r>
    <r>
      <rPr>
        <b/>
        <sz val="11"/>
        <color theme="1"/>
        <rFont val="Calibri"/>
        <family val="2"/>
        <scheme val="minor"/>
      </rPr>
      <t xml:space="preserve"> </t>
    </r>
    <r>
      <rPr>
        <sz val="11"/>
        <color theme="1"/>
        <rFont val="Calibri"/>
        <family val="2"/>
        <scheme val="minor"/>
      </rPr>
      <t xml:space="preserve">energy/water, the feeded value is </t>
    </r>
    <r>
      <rPr>
        <b/>
        <sz val="11"/>
        <color theme="1"/>
        <rFont val="Calibri"/>
        <family val="2"/>
        <scheme val="minor"/>
      </rPr>
      <t>negative (-)</t>
    </r>
  </si>
  <si>
    <r>
      <t xml:space="preserve">If the solution </t>
    </r>
    <r>
      <rPr>
        <b/>
        <sz val="11"/>
        <color theme="1"/>
        <rFont val="Calibri"/>
        <family val="2"/>
        <scheme val="minor"/>
      </rPr>
      <t xml:space="preserve">increases </t>
    </r>
    <r>
      <rPr>
        <sz val="11"/>
        <color theme="1"/>
        <rFont val="Calibri"/>
        <family val="2"/>
        <scheme val="minor"/>
      </rPr>
      <t xml:space="preserve">purchased energy/water, the feeded value is </t>
    </r>
    <r>
      <rPr>
        <b/>
        <sz val="11"/>
        <color theme="1"/>
        <rFont val="Calibri"/>
        <family val="2"/>
        <scheme val="minor"/>
      </rPr>
      <t>positive (+)</t>
    </r>
  </si>
  <si>
    <t>Change of purchased amount of heating energy (kWh/year)</t>
  </si>
  <si>
    <t>Change of purchased amount of electricity(kWh/year)</t>
  </si>
  <si>
    <t>Change of purchased amount of cooling energy (kWh/year)</t>
  </si>
  <si>
    <t>Energy demand before measures (kWh/a)</t>
  </si>
  <si>
    <t>Heating energy</t>
  </si>
  <si>
    <t>Cooling energy</t>
  </si>
  <si>
    <t>IMPACT OF THE MEASURE</t>
  </si>
  <si>
    <r>
      <rPr>
        <b/>
        <sz val="11"/>
        <color theme="1"/>
        <rFont val="Calibri"/>
        <family val="2"/>
        <scheme val="minor"/>
      </rPr>
      <t>·       Change of purchased amount of energy</t>
    </r>
    <r>
      <rPr>
        <sz val="11"/>
        <color theme="1"/>
        <rFont val="Calibri"/>
        <family val="2"/>
        <scheme val="minor"/>
      </rPr>
      <t xml:space="preserve"> (kWh/year)) based on</t>
    </r>
    <r>
      <rPr>
        <b/>
        <sz val="11"/>
        <color theme="1"/>
        <rFont val="Calibri"/>
        <family val="2"/>
        <scheme val="minor"/>
      </rPr>
      <t xml:space="preserve"> the measure.</t>
    </r>
  </si>
  <si>
    <r>
      <rPr>
        <b/>
        <sz val="11"/>
        <color theme="1"/>
        <rFont val="Calibri"/>
        <family val="2"/>
        <scheme val="minor"/>
      </rPr>
      <t>·       Change of purchased amount of water</t>
    </r>
    <r>
      <rPr>
        <sz val="11"/>
        <color theme="1"/>
        <rFont val="Calibri"/>
        <family val="2"/>
        <scheme val="minor"/>
      </rPr>
      <t xml:space="preserve"> (m3/year) based on</t>
    </r>
    <r>
      <rPr>
        <b/>
        <sz val="11"/>
        <color theme="1"/>
        <rFont val="Calibri"/>
        <family val="2"/>
        <scheme val="minor"/>
      </rPr>
      <t xml:space="preserve"> the measure</t>
    </r>
  </si>
  <si>
    <t>First you fill in the background information about the building and energy demand before measures (to the grey cells).</t>
  </si>
  <si>
    <t>IMPACT OF THE MEASURES</t>
  </si>
  <si>
    <r>
      <rPr>
        <b/>
        <sz val="11"/>
        <color theme="1"/>
        <rFont val="Calibri"/>
        <family val="2"/>
        <scheme val="minor"/>
      </rPr>
      <t xml:space="preserve">·       Non-energy benefits </t>
    </r>
    <r>
      <rPr>
        <sz val="11"/>
        <color theme="1"/>
        <rFont val="Calibri"/>
        <family val="2"/>
        <scheme val="minor"/>
      </rPr>
      <t>(€/human): Estimate for costs due to bad indoor air  quality (if indoor air quality will became better due to measure).</t>
    </r>
  </si>
  <si>
    <t>7. Change of CO2- emissions</t>
  </si>
  <si>
    <t xml:space="preserve">                 Decrease cost (-) or increase cost(+) If not,  insert value as ”0”. </t>
  </si>
  <si>
    <t>Building</t>
  </si>
  <si>
    <t>Change of purchased amount of water (m3/year)</t>
  </si>
  <si>
    <t xml:space="preserve">Non- energy benefits: Change of health cost/human (€/human) </t>
  </si>
  <si>
    <t>Reduction of CO2-emissions / CO2-emissions before measures (%)</t>
  </si>
  <si>
    <t>Non-energy benefits</t>
  </si>
  <si>
    <t>Financial results</t>
  </si>
  <si>
    <t>Reduction of CO2-emissions</t>
  </si>
  <si>
    <r>
      <rPr>
        <b/>
        <u/>
        <sz val="11"/>
        <color theme="1"/>
        <rFont val="Calibri"/>
        <family val="2"/>
        <scheme val="minor"/>
      </rPr>
      <t xml:space="preserve">Increase costs in Life cycle </t>
    </r>
    <r>
      <rPr>
        <u/>
        <sz val="11"/>
        <color theme="1"/>
        <rFont val="Calibri"/>
        <family val="2"/>
        <scheme val="minor"/>
      </rPr>
      <t>(€)</t>
    </r>
    <r>
      <rPr>
        <sz val="11"/>
        <color theme="1"/>
        <rFont val="Calibri"/>
        <family val="2"/>
        <scheme val="minor"/>
      </rPr>
      <t xml:space="preserve"> (Investment cost - energy subsidies + maintenance cost)</t>
    </r>
  </si>
  <si>
    <r>
      <rPr>
        <b/>
        <u/>
        <sz val="11"/>
        <color theme="1"/>
        <rFont val="Calibri"/>
        <family val="2"/>
        <scheme val="minor"/>
      </rPr>
      <t xml:space="preserve">Decrease cost in Life cycle </t>
    </r>
    <r>
      <rPr>
        <u/>
        <sz val="11"/>
        <color theme="1"/>
        <rFont val="Calibri"/>
        <family val="2"/>
        <scheme val="minor"/>
      </rPr>
      <t>(€)</t>
    </r>
    <r>
      <rPr>
        <sz val="11"/>
        <color theme="1"/>
        <rFont val="Calibri"/>
        <family val="2"/>
        <scheme val="minor"/>
      </rPr>
      <t xml:space="preserve"> (Decrease energy costs + decrease water costs)</t>
    </r>
  </si>
  <si>
    <r>
      <rPr>
        <b/>
        <u/>
        <sz val="11"/>
        <color theme="1"/>
        <rFont val="Calibri"/>
        <family val="2"/>
        <scheme val="minor"/>
      </rPr>
      <t xml:space="preserve">Life cycle result </t>
    </r>
    <r>
      <rPr>
        <u/>
        <sz val="11"/>
        <color theme="1"/>
        <rFont val="Calibri"/>
        <family val="2"/>
        <scheme val="minor"/>
      </rPr>
      <t>(€)</t>
    </r>
    <r>
      <rPr>
        <b/>
        <u/>
        <sz val="11"/>
        <color theme="1"/>
        <rFont val="Calibri"/>
        <family val="2"/>
        <scheme val="minor"/>
      </rPr>
      <t xml:space="preserve"> </t>
    </r>
    <r>
      <rPr>
        <sz val="11"/>
        <color theme="1"/>
        <rFont val="Calibri"/>
        <family val="2"/>
        <scheme val="minor"/>
      </rPr>
      <t>(Decrease costs in Life cycle - Increase cost in Life cycle) (not interest rate)</t>
    </r>
  </si>
  <si>
    <t xml:space="preserve">            ·      </t>
  </si>
  <si>
    <r>
      <t xml:space="preserve">·      </t>
    </r>
    <r>
      <rPr>
        <b/>
        <sz val="11"/>
        <color theme="1"/>
        <rFont val="Calibri"/>
        <family val="2"/>
        <scheme val="minor"/>
      </rPr>
      <t xml:space="preserve">Reduction of CO2- emissions in life cycle </t>
    </r>
    <r>
      <rPr>
        <sz val="11"/>
        <color theme="1"/>
        <rFont val="Calibri"/>
        <family val="2"/>
        <scheme val="minor"/>
      </rPr>
      <t>(kgCO2)</t>
    </r>
  </si>
  <si>
    <t>Basic information (Fill in grey cells)</t>
  </si>
  <si>
    <r>
      <t>·     </t>
    </r>
    <r>
      <rPr>
        <b/>
        <sz val="11"/>
        <color theme="1"/>
        <rFont val="Calibri"/>
        <family val="2"/>
        <scheme val="minor"/>
      </rPr>
      <t xml:space="preserve">Internal rate of return, IRR </t>
    </r>
    <r>
      <rPr>
        <sz val="11"/>
        <color theme="1"/>
        <rFont val="Calibri"/>
        <family val="2"/>
        <scheme val="minor"/>
      </rPr>
      <t>(%)</t>
    </r>
    <r>
      <rPr>
        <b/>
        <sz val="11"/>
        <color theme="1"/>
        <rFont val="Calibri"/>
        <family val="2"/>
        <scheme val="minor"/>
      </rPr>
      <t xml:space="preserve"> (</t>
    </r>
    <r>
      <rPr>
        <sz val="11"/>
        <color theme="1"/>
        <rFont val="Calibri"/>
        <family val="2"/>
        <scheme val="minor"/>
      </rPr>
      <t>Internal rate of return is the discount rate that makes investments Net present value to 0)</t>
    </r>
  </si>
  <si>
    <t>Different financial calculation methods</t>
  </si>
  <si>
    <t>Net present value, NPV</t>
  </si>
  <si>
    <t>Internal rate of return, IRR</t>
  </si>
  <si>
    <t>Internal rate of return is the discount rate that makes investments net present value to 0.</t>
  </si>
  <si>
    <t>Discount rate</t>
  </si>
  <si>
    <t>Simple payback time</t>
  </si>
  <si>
    <t>(Invest cost - subsidies)/(Decrease energy costs)</t>
  </si>
  <si>
    <t>The sum of all discounted present and future cash flows is called net present value</t>
  </si>
  <si>
    <t xml:space="preserve">Cash flow </t>
  </si>
  <si>
    <t xml:space="preserve">       can be also discounted with given discount rate.</t>
  </si>
  <si>
    <t>The sum of costs and profits for each time period</t>
  </si>
  <si>
    <t>The discount rate is used to discount the amounts of money at different time points.</t>
  </si>
  <si>
    <t xml:space="preserve">       can include finance costs (debt payments)</t>
  </si>
  <si>
    <t>Energy subsidies/aid (%/investment cost)</t>
  </si>
  <si>
    <r>
      <rPr>
        <b/>
        <sz val="11"/>
        <color theme="1"/>
        <rFont val="Calibri"/>
        <family val="2"/>
        <scheme val="minor"/>
      </rPr>
      <t>·       Possible energy subsidies/aid for the measures</t>
    </r>
    <r>
      <rPr>
        <sz val="11"/>
        <color theme="1"/>
        <rFont val="Calibri"/>
        <family val="2"/>
        <scheme val="minor"/>
      </rPr>
      <t xml:space="preserve"> (% / investment costs). If there are no subsidies granted for the measure, insert value as ”0”.</t>
    </r>
  </si>
  <si>
    <r>
      <t>For example: 5%(fi</t>
    </r>
    <r>
      <rPr>
        <sz val="12"/>
        <color theme="1"/>
        <rFont val="Calibri"/>
        <family val="2"/>
        <scheme val="minor"/>
      </rPr>
      <t>nance interest rate)* remaining Investment costs + remaining investment costs+ maintenance costs- reduction of energy costs</t>
    </r>
  </si>
  <si>
    <t xml:space="preserve">Discounting means calculating the present value of future cash flow. </t>
  </si>
  <si>
    <t xml:space="preserve">        Value of money decreases in time (inflation)</t>
  </si>
  <si>
    <t xml:space="preserve">        In order for the current and future cash to be comparable, the value of future payments must be transferred to the present, ie discounted.</t>
  </si>
  <si>
    <t>CO2- emissions after measures (kgCO2/year)</t>
  </si>
  <si>
    <t xml:space="preserve">   CO2-emissions before measures (kgCO2/a)</t>
  </si>
  <si>
    <t xml:space="preserve">OBSERVE! EFFECT4buildings project does not take responsibility for the results of the calculation concerning profitability of energy investment based on the results of the calculation tool. The reviewer always has the responsibility for interpreting the results and also to understand the effect of the variables related to the calculation on the results.
</t>
  </si>
  <si>
    <t>EFFECT4buildings financial calculation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</si>
</sst>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0.0\ %"/>
    <numFmt numFmtId="166" formatCode="_-* #,##0\ _€_-;\-* #,##0\ _€_-;_-* &quot;-&quot;??\ _€_-;_-@_-"/>
    <numFmt numFmtId="167" formatCode="0.0"/>
    <numFmt numFmtId="168" formatCode="_-* #,##0.000\ _€_-;\-* #,##0.000\ _€_-;_-* &quot;-&quot;??\ _€_-;_-@_-"/>
    <numFmt numFmtId="169" formatCode="0.000"/>
    <numFmt numFmtId="170" formatCode="#,##0\ _€"/>
    <numFmt numFmtId="171" formatCode="#,##0_ ;\-#,##0\ "/>
  </numFmts>
  <fonts count="3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name val="Calibri"/>
      <family val="2"/>
      <scheme val="minor"/>
    </font>
    <font>
      <b/>
      <sz val="14"/>
      <color theme="1"/>
      <name val="Calibri"/>
      <family val="2"/>
      <scheme val="minor"/>
    </font>
    <font>
      <b/>
      <sz val="16"/>
      <color theme="1"/>
      <name val="Calibri"/>
      <family val="2"/>
      <scheme val="minor"/>
    </font>
    <font>
      <b/>
      <sz val="11"/>
      <color rgb="FFFFFF00"/>
      <name val="Calibri"/>
      <family val="2"/>
      <scheme val="minor"/>
    </font>
    <font>
      <sz val="9"/>
      <color indexed="81"/>
      <name val="Tahoma"/>
      <family val="2"/>
    </font>
    <font>
      <b/>
      <sz val="9"/>
      <color indexed="81"/>
      <name val="Tahoma"/>
      <family val="2"/>
    </font>
    <font>
      <sz val="12"/>
      <color theme="1"/>
      <name val="Arial"/>
      <family val="2"/>
    </font>
    <font>
      <sz val="11"/>
      <name val="Calibri"/>
      <family val="2"/>
      <scheme val="minor"/>
    </font>
    <font>
      <b/>
      <sz val="10"/>
      <color theme="1"/>
      <name val="Arial"/>
      <family val="2"/>
    </font>
    <font>
      <sz val="10"/>
      <color theme="1"/>
      <name val="Arial"/>
      <family val="2"/>
    </font>
    <font>
      <b/>
      <sz val="1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sz val="14"/>
      <color theme="1"/>
      <name val="Calibri"/>
      <family val="2"/>
      <scheme val="minor"/>
    </font>
    <font>
      <b/>
      <sz val="10"/>
      <color theme="1"/>
      <name val="Calibri"/>
      <family val="2"/>
      <scheme val="minor"/>
    </font>
    <font>
      <b/>
      <sz val="16"/>
      <color rgb="FF000000"/>
      <name val="Calibri"/>
      <family val="2"/>
      <scheme val="minor"/>
    </font>
    <font>
      <sz val="9"/>
      <color theme="1"/>
      <name val="Calibri"/>
      <family val="2"/>
      <scheme val="minor"/>
    </font>
    <font>
      <b/>
      <sz val="14"/>
      <color theme="0"/>
      <name val="Calibri"/>
      <family val="2"/>
      <scheme val="minor"/>
    </font>
    <font>
      <sz val="10"/>
      <name val="Arial"/>
      <family val="2"/>
    </font>
    <font>
      <b/>
      <sz val="11"/>
      <color theme="0"/>
      <name val="Calibri"/>
      <family val="2"/>
      <scheme val="minor"/>
    </font>
    <font>
      <b/>
      <sz val="16"/>
      <name val="Calibri"/>
      <family val="2"/>
      <scheme val="minor"/>
    </font>
    <font>
      <b/>
      <sz val="11"/>
      <color rgb="FFFF0000"/>
      <name val="Calibri"/>
      <family val="2"/>
      <scheme val="minor"/>
    </font>
    <font>
      <b/>
      <u/>
      <sz val="11"/>
      <color theme="1"/>
      <name val="Calibri"/>
      <family val="2"/>
      <scheme val="minor"/>
    </font>
    <font>
      <u/>
      <sz val="11"/>
      <color theme="1"/>
      <name val="Calibri"/>
      <family val="2"/>
      <scheme val="minor"/>
    </font>
    <font>
      <b/>
      <sz val="11"/>
      <color theme="1"/>
      <name val="Arial"/>
      <family val="2"/>
    </font>
    <font>
      <sz val="11"/>
      <color theme="1"/>
      <name val="Arial"/>
      <family val="2"/>
    </font>
    <font>
      <b/>
      <sz val="11"/>
      <name val="Arial"/>
      <family val="2"/>
    </font>
    <font>
      <sz val="9"/>
      <color indexed="81"/>
      <name val="Tahoma"/>
      <charset val="1"/>
    </font>
    <font>
      <b/>
      <sz val="9"/>
      <color indexed="81"/>
      <name val="Tahoma"/>
      <charset val="1"/>
    </font>
    <font>
      <sz val="16"/>
      <color theme="1"/>
      <name val="Calibri"/>
      <family val="2"/>
      <scheme val="minor"/>
    </font>
    <font>
      <sz val="20"/>
      <color theme="1"/>
      <name val="Calibri"/>
      <family val="2"/>
      <scheme val="minor"/>
    </font>
    <font>
      <sz val="22"/>
      <color theme="1"/>
      <name val="Calibri"/>
      <family val="2"/>
      <scheme val="minor"/>
    </font>
  </fonts>
  <fills count="23">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FF000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23" fillId="0" borderId="0"/>
  </cellStyleXfs>
  <cellXfs count="307">
    <xf numFmtId="0" fontId="0" fillId="0" borderId="0" xfId="0"/>
    <xf numFmtId="0" fontId="0" fillId="0" borderId="0" xfId="0" applyAlignment="1">
      <alignment vertical="center"/>
    </xf>
    <xf numFmtId="0" fontId="2" fillId="0" borderId="0" xfId="0" applyFont="1"/>
    <xf numFmtId="0" fontId="3" fillId="0" borderId="0" xfId="0" applyFont="1"/>
    <xf numFmtId="164" fontId="0" fillId="0" borderId="0" xfId="1" applyFont="1"/>
    <xf numFmtId="164" fontId="0" fillId="0" borderId="0" xfId="0" applyNumberFormat="1"/>
    <xf numFmtId="0" fontId="0" fillId="2" borderId="0" xfId="0" applyFill="1"/>
    <xf numFmtId="164" fontId="0" fillId="2" borderId="0" xfId="1" applyFont="1" applyFill="1"/>
    <xf numFmtId="164" fontId="0" fillId="2" borderId="0" xfId="0" applyNumberFormat="1" applyFill="1"/>
    <xf numFmtId="164" fontId="0" fillId="0" borderId="0" xfId="0" applyNumberFormat="1" applyFill="1"/>
    <xf numFmtId="0" fontId="2" fillId="0" borderId="0" xfId="0" applyFont="1" applyFill="1"/>
    <xf numFmtId="0" fontId="0" fillId="0" borderId="0" xfId="0" applyFill="1"/>
    <xf numFmtId="164" fontId="0" fillId="0" borderId="0" xfId="1" applyFont="1" applyFill="1"/>
    <xf numFmtId="164" fontId="2" fillId="0" borderId="0" xfId="1" applyFont="1"/>
    <xf numFmtId="9" fontId="0" fillId="2" borderId="0" xfId="2" applyFont="1" applyFill="1"/>
    <xf numFmtId="0" fontId="0" fillId="3" borderId="0" xfId="0" applyFill="1"/>
    <xf numFmtId="164" fontId="0" fillId="3" borderId="0" xfId="1" applyFont="1" applyFill="1"/>
    <xf numFmtId="164" fontId="2" fillId="0" borderId="0" xfId="1" applyFont="1" applyFill="1"/>
    <xf numFmtId="164" fontId="0" fillId="3" borderId="0" xfId="0" applyNumberFormat="1" applyFill="1"/>
    <xf numFmtId="0" fontId="2" fillId="3" borderId="0" xfId="0" applyFont="1" applyFill="1"/>
    <xf numFmtId="9" fontId="0" fillId="0" borderId="0" xfId="2" applyFont="1"/>
    <xf numFmtId="0" fontId="5" fillId="2" borderId="0" xfId="0" applyFont="1" applyFill="1"/>
    <xf numFmtId="9" fontId="0" fillId="3" borderId="0" xfId="0" applyNumberFormat="1" applyFill="1"/>
    <xf numFmtId="0" fontId="0" fillId="0" borderId="0" xfId="0" applyFont="1"/>
    <xf numFmtId="166" fontId="0" fillId="0" borderId="0" xfId="1" applyNumberFormat="1" applyFont="1"/>
    <xf numFmtId="0" fontId="0" fillId="4" borderId="0" xfId="0" applyFill="1"/>
    <xf numFmtId="9" fontId="0" fillId="0" borderId="0" xfId="0" applyNumberFormat="1"/>
    <xf numFmtId="1" fontId="0" fillId="0" borderId="0" xfId="0" applyNumberFormat="1"/>
    <xf numFmtId="0" fontId="10" fillId="0" borderId="0" xfId="0" applyFont="1"/>
    <xf numFmtId="164" fontId="0" fillId="0" borderId="0" xfId="2" applyNumberFormat="1" applyFont="1"/>
    <xf numFmtId="166" fontId="0" fillId="0" borderId="0" xfId="0" applyNumberFormat="1"/>
    <xf numFmtId="10" fontId="0" fillId="0" borderId="0" xfId="0" applyNumberFormat="1"/>
    <xf numFmtId="0" fontId="10" fillId="5" borderId="3" xfId="0" applyFont="1" applyFill="1" applyBorder="1"/>
    <xf numFmtId="0" fontId="10" fillId="0" borderId="3" xfId="0" applyFont="1" applyBorder="1"/>
    <xf numFmtId="0" fontId="10" fillId="5" borderId="4" xfId="0" applyFont="1" applyFill="1" applyBorder="1"/>
    <xf numFmtId="14" fontId="0" fillId="0" borderId="0" xfId="0" applyNumberFormat="1"/>
    <xf numFmtId="16" fontId="0" fillId="0" borderId="0" xfId="0" applyNumberFormat="1"/>
    <xf numFmtId="1" fontId="11" fillId="0" borderId="0" xfId="0" applyNumberFormat="1" applyFont="1"/>
    <xf numFmtId="17" fontId="0" fillId="0" borderId="0" xfId="0" applyNumberFormat="1"/>
    <xf numFmtId="0" fontId="0" fillId="0" borderId="0" xfId="0"/>
    <xf numFmtId="165" fontId="2" fillId="2" borderId="13" xfId="2" applyNumberFormat="1" applyFont="1" applyFill="1" applyBorder="1" applyProtection="1">
      <protection locked="0"/>
    </xf>
    <xf numFmtId="166" fontId="11" fillId="0" borderId="0" xfId="1" applyNumberFormat="1" applyFont="1"/>
    <xf numFmtId="0" fontId="0" fillId="9" borderId="0" xfId="0" applyFill="1"/>
    <xf numFmtId="0" fontId="2" fillId="0" borderId="9" xfId="0" applyFont="1" applyBorder="1"/>
    <xf numFmtId="164" fontId="2" fillId="2" borderId="13" xfId="1" applyFont="1" applyFill="1" applyBorder="1" applyProtection="1">
      <protection locked="0"/>
    </xf>
    <xf numFmtId="0" fontId="2" fillId="2" borderId="13" xfId="2" applyNumberFormat="1" applyFont="1" applyFill="1" applyBorder="1" applyProtection="1">
      <protection locked="0"/>
    </xf>
    <xf numFmtId="164" fontId="2" fillId="2" borderId="2" xfId="1" applyFont="1" applyFill="1" applyBorder="1" applyProtection="1">
      <protection locked="0"/>
    </xf>
    <xf numFmtId="0" fontId="2" fillId="2" borderId="2" xfId="2" applyNumberFormat="1" applyFont="1" applyFill="1" applyBorder="1" applyProtection="1">
      <protection locked="0"/>
    </xf>
    <xf numFmtId="168" fontId="2" fillId="2" borderId="2" xfId="1" applyNumberFormat="1" applyFont="1" applyFill="1" applyBorder="1" applyProtection="1">
      <protection locked="0"/>
    </xf>
    <xf numFmtId="169" fontId="2" fillId="2" borderId="2" xfId="2" applyNumberFormat="1" applyFont="1" applyFill="1" applyBorder="1" applyProtection="1">
      <protection locked="0"/>
    </xf>
    <xf numFmtId="168" fontId="2" fillId="2" borderId="13" xfId="1" applyNumberFormat="1" applyFont="1" applyFill="1" applyBorder="1" applyProtection="1">
      <protection locked="0"/>
    </xf>
    <xf numFmtId="10" fontId="2" fillId="2" borderId="2" xfId="2" applyNumberFormat="1" applyFont="1" applyFill="1" applyBorder="1" applyProtection="1">
      <protection locked="0"/>
    </xf>
    <xf numFmtId="10" fontId="2" fillId="2" borderId="13" xfId="2" applyNumberFormat="1" applyFont="1" applyFill="1" applyBorder="1" applyProtection="1">
      <protection locked="0"/>
    </xf>
    <xf numFmtId="169" fontId="2" fillId="2" borderId="13" xfId="2" applyNumberFormat="1" applyFont="1" applyFill="1" applyBorder="1" applyProtection="1">
      <protection locked="0"/>
    </xf>
    <xf numFmtId="169" fontId="2" fillId="2" borderId="13" xfId="0" applyNumberFormat="1" applyFont="1" applyFill="1" applyBorder="1" applyProtection="1">
      <protection locked="0"/>
    </xf>
    <xf numFmtId="170" fontId="2" fillId="2" borderId="13" xfId="1" applyNumberFormat="1" applyFont="1" applyFill="1" applyBorder="1" applyProtection="1">
      <protection locked="0"/>
    </xf>
    <xf numFmtId="3" fontId="2" fillId="2" borderId="13" xfId="1" applyNumberFormat="1" applyFont="1" applyFill="1" applyBorder="1" applyProtection="1">
      <protection locked="0"/>
    </xf>
    <xf numFmtId="3" fontId="2" fillId="2" borderId="2" xfId="1" applyNumberFormat="1" applyFont="1" applyFill="1" applyBorder="1" applyProtection="1">
      <protection locked="0"/>
    </xf>
    <xf numFmtId="3" fontId="2" fillId="2" borderId="13" xfId="2" applyNumberFormat="1" applyFont="1" applyFill="1" applyBorder="1" applyProtection="1">
      <protection locked="0"/>
    </xf>
    <xf numFmtId="3" fontId="2" fillId="2" borderId="2" xfId="2" applyNumberFormat="1" applyFont="1" applyFill="1" applyBorder="1" applyProtection="1">
      <protection locked="0"/>
    </xf>
    <xf numFmtId="0" fontId="5" fillId="2" borderId="13" xfId="0" applyFont="1" applyFill="1" applyBorder="1" applyProtection="1">
      <protection locked="0"/>
    </xf>
    <xf numFmtId="0" fontId="2" fillId="7" borderId="7" xfId="0" applyFont="1" applyFill="1" applyBorder="1"/>
    <xf numFmtId="0" fontId="2" fillId="7" borderId="9" xfId="0" applyFont="1" applyFill="1" applyBorder="1"/>
    <xf numFmtId="0" fontId="2" fillId="7" borderId="12" xfId="0" applyFont="1" applyFill="1" applyBorder="1"/>
    <xf numFmtId="0" fontId="2" fillId="2" borderId="13" xfId="0" applyFont="1" applyFill="1" applyBorder="1" applyProtection="1">
      <protection locked="0"/>
    </xf>
    <xf numFmtId="0" fontId="2" fillId="2" borderId="2" xfId="0" applyFont="1" applyFill="1" applyBorder="1" applyProtection="1">
      <protection locked="0"/>
    </xf>
    <xf numFmtId="9" fontId="2" fillId="2" borderId="13" xfId="2" applyFont="1" applyFill="1" applyBorder="1" applyProtection="1">
      <protection locked="0"/>
    </xf>
    <xf numFmtId="0" fontId="0" fillId="11" borderId="7" xfId="0" applyFill="1" applyBorder="1"/>
    <xf numFmtId="0" fontId="0" fillId="11" borderId="9" xfId="0" applyFill="1" applyBorder="1"/>
    <xf numFmtId="0" fontId="0" fillId="11" borderId="12" xfId="0" applyFill="1" applyBorder="1"/>
    <xf numFmtId="0" fontId="0" fillId="15" borderId="7" xfId="0" applyFill="1" applyBorder="1"/>
    <xf numFmtId="0" fontId="0" fillId="15" borderId="9" xfId="0" applyFill="1" applyBorder="1"/>
    <xf numFmtId="0" fontId="0" fillId="15" borderId="12" xfId="0" applyFill="1" applyBorder="1"/>
    <xf numFmtId="0" fontId="0" fillId="12" borderId="7" xfId="0" applyFill="1" applyBorder="1"/>
    <xf numFmtId="0" fontId="0" fillId="12" borderId="9" xfId="0" applyFill="1" applyBorder="1"/>
    <xf numFmtId="0" fontId="2" fillId="12" borderId="0" xfId="0" applyFont="1" applyFill="1" applyBorder="1"/>
    <xf numFmtId="0" fontId="0" fillId="7" borderId="2" xfId="0" applyFill="1" applyBorder="1"/>
    <xf numFmtId="0" fontId="0" fillId="15" borderId="0" xfId="0" applyFont="1" applyFill="1" applyBorder="1"/>
    <xf numFmtId="0" fontId="0" fillId="15" borderId="9" xfId="0" applyFont="1" applyFill="1" applyBorder="1"/>
    <xf numFmtId="0" fontId="0" fillId="15" borderId="8" xfId="0" applyFont="1" applyFill="1" applyBorder="1"/>
    <xf numFmtId="0" fontId="0" fillId="15" borderId="11" xfId="0" applyFont="1" applyFill="1" applyBorder="1"/>
    <xf numFmtId="0" fontId="5" fillId="7" borderId="1" xfId="0" applyFont="1" applyFill="1" applyBorder="1" applyAlignment="1">
      <alignment vertical="center"/>
    </xf>
    <xf numFmtId="0" fontId="0" fillId="7" borderId="14" xfId="0" applyFont="1" applyFill="1" applyBorder="1"/>
    <xf numFmtId="0" fontId="5" fillId="12" borderId="5" xfId="0" applyFont="1" applyFill="1" applyBorder="1" applyAlignment="1">
      <alignment vertical="center"/>
    </xf>
    <xf numFmtId="0" fontId="0" fillId="12" borderId="6" xfId="0" applyFont="1" applyFill="1" applyBorder="1"/>
    <xf numFmtId="0" fontId="19" fillId="12" borderId="8" xfId="0" applyFont="1" applyFill="1" applyBorder="1" applyAlignment="1">
      <alignment vertical="center"/>
    </xf>
    <xf numFmtId="0" fontId="0" fillId="12" borderId="0" xfId="0" applyFont="1" applyFill="1" applyBorder="1"/>
    <xf numFmtId="0" fontId="0" fillId="12" borderId="8" xfId="0" applyFont="1" applyFill="1" applyBorder="1"/>
    <xf numFmtId="0" fontId="0" fillId="12" borderId="8" xfId="0" applyFont="1" applyFill="1" applyBorder="1" applyAlignment="1">
      <alignment horizontal="left" vertical="center" indent="4"/>
    </xf>
    <xf numFmtId="0" fontId="6" fillId="11" borderId="5" xfId="0" applyFont="1" applyFill="1" applyBorder="1" applyAlignment="1">
      <alignment vertical="center"/>
    </xf>
    <xf numFmtId="0" fontId="0" fillId="11" borderId="6" xfId="0" applyFont="1" applyFill="1" applyBorder="1"/>
    <xf numFmtId="0" fontId="6" fillId="11" borderId="8" xfId="0" applyFont="1" applyFill="1" applyBorder="1" applyAlignment="1">
      <alignment vertical="center"/>
    </xf>
    <xf numFmtId="0" fontId="0" fillId="11" borderId="0" xfId="0" applyFont="1" applyFill="1" applyBorder="1"/>
    <xf numFmtId="0" fontId="2" fillId="11" borderId="8" xfId="0" applyFont="1" applyFill="1" applyBorder="1" applyAlignment="1">
      <alignment horizontal="left" vertical="center" indent="4"/>
    </xf>
    <xf numFmtId="0" fontId="0" fillId="11" borderId="8" xfId="0" applyFont="1" applyFill="1" applyBorder="1" applyAlignment="1">
      <alignment horizontal="left" vertical="center" indent="4"/>
    </xf>
    <xf numFmtId="0" fontId="0" fillId="11" borderId="11" xfId="0" applyFont="1" applyFill="1" applyBorder="1"/>
    <xf numFmtId="0" fontId="6" fillId="15" borderId="5" xfId="0" applyFont="1" applyFill="1" applyBorder="1" applyAlignment="1">
      <alignment vertical="center"/>
    </xf>
    <xf numFmtId="0" fontId="0" fillId="15" borderId="6" xfId="0" applyFont="1" applyFill="1" applyBorder="1"/>
    <xf numFmtId="0" fontId="20" fillId="15" borderId="8" xfId="0" applyFont="1" applyFill="1" applyBorder="1" applyAlignment="1">
      <alignment vertical="center"/>
    </xf>
    <xf numFmtId="0" fontId="2" fillId="15" borderId="8" xfId="0" applyFont="1" applyFill="1" applyBorder="1" applyAlignment="1">
      <alignment vertical="center"/>
    </xf>
    <xf numFmtId="0" fontId="0" fillId="15" borderId="10" xfId="0" applyFont="1" applyFill="1" applyBorder="1"/>
    <xf numFmtId="0" fontId="0" fillId="11" borderId="10" xfId="0" applyFont="1" applyFill="1" applyBorder="1" applyAlignment="1">
      <alignment horizontal="left" vertical="center" indent="4"/>
    </xf>
    <xf numFmtId="0" fontId="2" fillId="12" borderId="8" xfId="0" applyFont="1" applyFill="1" applyBorder="1" applyAlignment="1">
      <alignment horizontal="left" vertical="center" indent="4"/>
    </xf>
    <xf numFmtId="0" fontId="0" fillId="12" borderId="8" xfId="0" applyFont="1" applyFill="1" applyBorder="1" applyAlignment="1">
      <alignment horizontal="left" vertical="center" indent="8"/>
    </xf>
    <xf numFmtId="0" fontId="0" fillId="12" borderId="0" xfId="0" applyFont="1" applyFill="1" applyBorder="1" applyAlignment="1">
      <alignment horizontal="left" vertical="center" indent="4"/>
    </xf>
    <xf numFmtId="0" fontId="0" fillId="12" borderId="8" xfId="0" applyFont="1" applyFill="1" applyBorder="1" applyAlignment="1">
      <alignment vertical="center"/>
    </xf>
    <xf numFmtId="0" fontId="21" fillId="12" borderId="0" xfId="0" applyFont="1" applyFill="1" applyBorder="1"/>
    <xf numFmtId="0" fontId="10" fillId="5" borderId="0" xfId="0" applyFont="1" applyFill="1" applyBorder="1"/>
    <xf numFmtId="0" fontId="0" fillId="0" borderId="0" xfId="0" applyProtection="1"/>
    <xf numFmtId="0" fontId="6" fillId="2" borderId="13" xfId="0" applyFont="1" applyFill="1" applyBorder="1" applyProtection="1"/>
    <xf numFmtId="0" fontId="6" fillId="0" borderId="1" xfId="0" applyFont="1" applyFill="1" applyBorder="1" applyProtection="1"/>
    <xf numFmtId="0" fontId="5" fillId="0" borderId="1" xfId="0" applyFont="1" applyBorder="1" applyProtection="1"/>
    <xf numFmtId="0" fontId="15" fillId="11" borderId="5" xfId="0" applyFont="1" applyFill="1" applyBorder="1" applyProtection="1"/>
    <xf numFmtId="0" fontId="2" fillId="11" borderId="13" xfId="0" applyFont="1" applyFill="1" applyBorder="1" applyAlignment="1" applyProtection="1">
      <alignment horizontal="left" indent="2"/>
    </xf>
    <xf numFmtId="0" fontId="0" fillId="0" borderId="8" xfId="0" applyBorder="1" applyProtection="1"/>
    <xf numFmtId="0" fontId="2" fillId="0" borderId="8" xfId="0" applyFont="1" applyFill="1" applyBorder="1" applyProtection="1"/>
    <xf numFmtId="0" fontId="0" fillId="11" borderId="10" xfId="0" applyFill="1" applyBorder="1" applyProtection="1"/>
    <xf numFmtId="0" fontId="15" fillId="13" borderId="5" xfId="0" applyFont="1" applyFill="1" applyBorder="1" applyProtection="1"/>
    <xf numFmtId="0" fontId="2" fillId="13" borderId="13" xfId="0" applyFont="1" applyFill="1" applyBorder="1" applyAlignment="1" applyProtection="1">
      <alignment horizontal="left" indent="2"/>
    </xf>
    <xf numFmtId="0" fontId="0" fillId="13" borderId="10" xfId="0" applyFill="1" applyBorder="1" applyProtection="1"/>
    <xf numFmtId="0" fontId="15" fillId="12" borderId="5" xfId="0" applyFont="1" applyFill="1" applyBorder="1" applyProtection="1"/>
    <xf numFmtId="0" fontId="2" fillId="12" borderId="13" xfId="0" applyFont="1" applyFill="1" applyBorder="1" applyAlignment="1" applyProtection="1">
      <alignment horizontal="left" indent="2"/>
    </xf>
    <xf numFmtId="0" fontId="0" fillId="12" borderId="10" xfId="0" applyFill="1" applyBorder="1" applyProtection="1"/>
    <xf numFmtId="0" fontId="15" fillId="16" borderId="1" xfId="0" applyFont="1" applyFill="1" applyBorder="1" applyProtection="1"/>
    <xf numFmtId="0" fontId="2" fillId="15" borderId="10" xfId="0" applyFont="1" applyFill="1" applyBorder="1" applyProtection="1"/>
    <xf numFmtId="0" fontId="2" fillId="0" borderId="1" xfId="0" applyFont="1" applyFill="1" applyBorder="1" applyProtection="1"/>
    <xf numFmtId="0" fontId="14" fillId="0" borderId="1" xfId="0" applyFont="1" applyFill="1" applyBorder="1" applyProtection="1"/>
    <xf numFmtId="0" fontId="2" fillId="0" borderId="1" xfId="0" applyFont="1" applyFill="1" applyBorder="1" applyAlignment="1" applyProtection="1">
      <alignment wrapText="1"/>
    </xf>
    <xf numFmtId="0" fontId="2" fillId="6" borderId="13" xfId="0" applyFont="1" applyFill="1" applyBorder="1" applyProtection="1"/>
    <xf numFmtId="0" fontId="2" fillId="8" borderId="13" xfId="0" applyFont="1" applyFill="1" applyBorder="1" applyProtection="1"/>
    <xf numFmtId="0" fontId="2" fillId="0" borderId="13" xfId="0" applyFont="1" applyBorder="1" applyProtection="1"/>
    <xf numFmtId="0" fontId="2" fillId="11" borderId="11" xfId="0" applyFont="1" applyFill="1" applyBorder="1" applyProtection="1"/>
    <xf numFmtId="0" fontId="2" fillId="13" borderId="11" xfId="0" applyFont="1" applyFill="1" applyBorder="1" applyProtection="1"/>
    <xf numFmtId="0" fontId="2" fillId="12" borderId="11" xfId="0" applyFont="1" applyFill="1" applyBorder="1" applyProtection="1"/>
    <xf numFmtId="0" fontId="2" fillId="15" borderId="11" xfId="0" applyFont="1" applyFill="1" applyBorder="1" applyProtection="1"/>
    <xf numFmtId="3" fontId="2" fillId="0" borderId="13" xfId="1" applyNumberFormat="1" applyFont="1" applyBorder="1" applyProtection="1"/>
    <xf numFmtId="3" fontId="2" fillId="0" borderId="13" xfId="0" applyNumberFormat="1" applyFont="1" applyBorder="1" applyProtection="1"/>
    <xf numFmtId="3" fontId="2" fillId="0" borderId="13" xfId="2" applyNumberFormat="1" applyFont="1" applyBorder="1" applyProtection="1"/>
    <xf numFmtId="4" fontId="2" fillId="0" borderId="13" xfId="1" applyNumberFormat="1" applyFont="1" applyBorder="1" applyProtection="1"/>
    <xf numFmtId="164" fontId="2" fillId="0" borderId="13" xfId="1" applyFont="1" applyBorder="1" applyProtection="1"/>
    <xf numFmtId="10" fontId="2" fillId="0" borderId="13" xfId="1" applyNumberFormat="1" applyFont="1" applyBorder="1" applyProtection="1"/>
    <xf numFmtId="0" fontId="2" fillId="11" borderId="12" xfId="0" applyFont="1" applyFill="1" applyBorder="1" applyProtection="1"/>
    <xf numFmtId="0" fontId="2" fillId="13" borderId="12" xfId="0" applyFont="1" applyFill="1" applyBorder="1" applyProtection="1"/>
    <xf numFmtId="0" fontId="2" fillId="12" borderId="12" xfId="0" applyFont="1" applyFill="1" applyBorder="1" applyProtection="1"/>
    <xf numFmtId="0" fontId="2" fillId="15" borderId="12" xfId="0" applyFont="1" applyFill="1" applyBorder="1" applyProtection="1"/>
    <xf numFmtId="164" fontId="0" fillId="18" borderId="0" xfId="1" applyFont="1" applyFill="1" applyProtection="1"/>
    <xf numFmtId="0" fontId="2" fillId="18" borderId="0" xfId="0" applyFont="1" applyFill="1" applyBorder="1" applyProtection="1"/>
    <xf numFmtId="0" fontId="2" fillId="16" borderId="1" xfId="0" applyFont="1" applyFill="1" applyBorder="1" applyAlignment="1" applyProtection="1">
      <alignment horizontal="left" indent="2"/>
    </xf>
    <xf numFmtId="0" fontId="2" fillId="16" borderId="10" xfId="0" applyFont="1" applyFill="1" applyBorder="1" applyAlignment="1" applyProtection="1">
      <alignment horizontal="left" indent="2"/>
    </xf>
    <xf numFmtId="0" fontId="0" fillId="18" borderId="0" xfId="0" applyFill="1" applyProtection="1"/>
    <xf numFmtId="0" fontId="2" fillId="12" borderId="8" xfId="0" applyFont="1" applyFill="1" applyBorder="1" applyAlignment="1">
      <alignment horizontal="left" vertical="center"/>
    </xf>
    <xf numFmtId="0" fontId="2" fillId="12" borderId="8" xfId="0" applyFont="1" applyFill="1" applyBorder="1"/>
    <xf numFmtId="0" fontId="0" fillId="12" borderId="0" xfId="0" applyFill="1"/>
    <xf numFmtId="166" fontId="0" fillId="18" borderId="0" xfId="1" applyNumberFormat="1" applyFont="1" applyFill="1"/>
    <xf numFmtId="0" fontId="22" fillId="20" borderId="1" xfId="0" applyFont="1" applyFill="1" applyBorder="1" applyProtection="1"/>
    <xf numFmtId="0" fontId="0" fillId="18" borderId="0" xfId="0" applyFill="1"/>
    <xf numFmtId="0" fontId="10" fillId="18" borderId="0" xfId="0" applyFont="1" applyFill="1" applyProtection="1"/>
    <xf numFmtId="0" fontId="2" fillId="18" borderId="0" xfId="0" applyFont="1" applyFill="1"/>
    <xf numFmtId="164" fontId="0" fillId="18" borderId="0" xfId="1" applyFont="1" applyFill="1"/>
    <xf numFmtId="0" fontId="2" fillId="18" borderId="0" xfId="0" applyFont="1" applyFill="1" applyProtection="1"/>
    <xf numFmtId="166" fontId="2" fillId="18" borderId="0" xfId="1" applyNumberFormat="1" applyFont="1" applyFill="1"/>
    <xf numFmtId="0" fontId="0" fillId="18" borderId="0" xfId="1" applyNumberFormat="1" applyFont="1" applyFill="1" applyProtection="1"/>
    <xf numFmtId="164" fontId="0" fillId="18" borderId="0" xfId="0" applyNumberFormat="1" applyFill="1"/>
    <xf numFmtId="0" fontId="0" fillId="18" borderId="0" xfId="1" applyNumberFormat="1" applyFont="1" applyFill="1"/>
    <xf numFmtId="9" fontId="0" fillId="18" borderId="0" xfId="1" applyNumberFormat="1" applyFont="1" applyFill="1"/>
    <xf numFmtId="9" fontId="0" fillId="18" borderId="0" xfId="0" applyNumberFormat="1" applyFill="1"/>
    <xf numFmtId="165" fontId="2" fillId="18" borderId="0" xfId="2" applyNumberFormat="1" applyFont="1" applyFill="1" applyProtection="1"/>
    <xf numFmtId="0" fontId="0" fillId="18" borderId="0" xfId="0" applyNumberFormat="1" applyFill="1"/>
    <xf numFmtId="165" fontId="0" fillId="18" borderId="0" xfId="2" applyNumberFormat="1" applyFont="1" applyFill="1" applyProtection="1"/>
    <xf numFmtId="9" fontId="0" fillId="18" borderId="0" xfId="2" applyFont="1" applyFill="1" applyProtection="1"/>
    <xf numFmtId="166" fontId="0" fillId="18" borderId="0" xfId="0" applyNumberFormat="1" applyFill="1"/>
    <xf numFmtId="166" fontId="0" fillId="18" borderId="0" xfId="1" applyNumberFormat="1" applyFont="1" applyFill="1" applyProtection="1"/>
    <xf numFmtId="0" fontId="13" fillId="18" borderId="0" xfId="0" applyFont="1" applyFill="1" applyBorder="1" applyProtection="1"/>
    <xf numFmtId="164" fontId="2" fillId="18" borderId="0" xfId="1" applyFont="1" applyFill="1" applyProtection="1"/>
    <xf numFmtId="0" fontId="0" fillId="18" borderId="8" xfId="0" applyFill="1" applyBorder="1" applyProtection="1"/>
    <xf numFmtId="0" fontId="2" fillId="18" borderId="9" xfId="0" applyFont="1" applyFill="1" applyBorder="1" applyProtection="1"/>
    <xf numFmtId="0" fontId="2" fillId="18" borderId="8" xfId="0" applyFont="1" applyFill="1" applyBorder="1" applyProtection="1"/>
    <xf numFmtId="0" fontId="0" fillId="18" borderId="0" xfId="0" applyFill="1" applyBorder="1" applyProtection="1"/>
    <xf numFmtId="0" fontId="2" fillId="18" borderId="11" xfId="0" applyFont="1" applyFill="1" applyBorder="1" applyProtection="1"/>
    <xf numFmtId="0" fontId="2" fillId="18" borderId="12" xfId="0" applyFont="1" applyFill="1" applyBorder="1" applyProtection="1"/>
    <xf numFmtId="0" fontId="2" fillId="18" borderId="10" xfId="0" applyFont="1" applyFill="1" applyBorder="1" applyProtection="1"/>
    <xf numFmtId="3" fontId="2" fillId="18" borderId="0" xfId="2" applyNumberFormat="1" applyFont="1" applyFill="1" applyBorder="1" applyProtection="1"/>
    <xf numFmtId="3" fontId="2" fillId="18" borderId="0" xfId="1" applyNumberFormat="1" applyFont="1" applyFill="1" applyBorder="1" applyProtection="1"/>
    <xf numFmtId="4" fontId="2" fillId="18" borderId="0" xfId="1" applyNumberFormat="1" applyFont="1" applyFill="1" applyBorder="1" applyProtection="1"/>
    <xf numFmtId="164" fontId="2" fillId="18" borderId="0" xfId="1" applyFont="1" applyFill="1" applyBorder="1" applyProtection="1"/>
    <xf numFmtId="10" fontId="2" fillId="18" borderId="0" xfId="1" applyNumberFormat="1" applyFont="1" applyFill="1" applyBorder="1" applyProtection="1"/>
    <xf numFmtId="1" fontId="2" fillId="18" borderId="0" xfId="1" applyNumberFormat="1" applyFont="1" applyFill="1" applyBorder="1" applyProtection="1"/>
    <xf numFmtId="167" fontId="0" fillId="18" borderId="0" xfId="1" applyNumberFormat="1" applyFont="1" applyFill="1" applyProtection="1"/>
    <xf numFmtId="0" fontId="7" fillId="18" borderId="0" xfId="0" applyFont="1" applyFill="1" applyProtection="1"/>
    <xf numFmtId="0" fontId="0" fillId="18" borderId="9" xfId="0" applyFill="1" applyBorder="1" applyProtection="1"/>
    <xf numFmtId="0" fontId="5" fillId="18" borderId="5" xfId="0" applyFont="1" applyFill="1" applyBorder="1" applyProtection="1"/>
    <xf numFmtId="164" fontId="2" fillId="18" borderId="9" xfId="1" applyFont="1" applyFill="1" applyBorder="1" applyProtection="1"/>
    <xf numFmtId="0" fontId="0" fillId="0" borderId="0" xfId="0" applyBorder="1" applyProtection="1"/>
    <xf numFmtId="0" fontId="0" fillId="0" borderId="9" xfId="0" applyBorder="1" applyProtection="1"/>
    <xf numFmtId="165" fontId="2" fillId="18" borderId="9" xfId="2" applyNumberFormat="1" applyFont="1" applyFill="1" applyBorder="1" applyProtection="1"/>
    <xf numFmtId="0" fontId="2" fillId="18" borderId="8" xfId="0" applyFont="1" applyFill="1" applyBorder="1" applyAlignment="1" applyProtection="1">
      <alignment wrapText="1"/>
    </xf>
    <xf numFmtId="0" fontId="24" fillId="18" borderId="8" xfId="0" applyFont="1" applyFill="1" applyBorder="1" applyProtection="1"/>
    <xf numFmtId="166" fontId="0" fillId="18" borderId="0" xfId="1" applyNumberFormat="1" applyFont="1" applyFill="1" applyBorder="1" applyProtection="1"/>
    <xf numFmtId="0" fontId="0" fillId="18" borderId="9" xfId="1" applyNumberFormat="1" applyFont="1" applyFill="1" applyBorder="1" applyProtection="1"/>
    <xf numFmtId="3" fontId="2" fillId="18" borderId="9" xfId="0" applyNumberFormat="1" applyFont="1" applyFill="1" applyBorder="1" applyProtection="1"/>
    <xf numFmtId="3" fontId="2" fillId="18" borderId="9" xfId="1" applyNumberFormat="1" applyFont="1" applyFill="1" applyBorder="1" applyProtection="1"/>
    <xf numFmtId="0" fontId="0" fillId="18" borderId="0" xfId="0" applyFill="1" applyBorder="1"/>
    <xf numFmtId="0" fontId="22" fillId="18" borderId="8" xfId="0" applyFont="1" applyFill="1" applyBorder="1" applyProtection="1"/>
    <xf numFmtId="10" fontId="2" fillId="18" borderId="9" xfId="1" applyNumberFormat="1" applyFont="1" applyFill="1" applyBorder="1" applyProtection="1"/>
    <xf numFmtId="1" fontId="2" fillId="18" borderId="9" xfId="1" applyNumberFormat="1" applyFont="1" applyFill="1" applyBorder="1" applyProtection="1"/>
    <xf numFmtId="1" fontId="2" fillId="18" borderId="0" xfId="0" applyNumberFormat="1" applyFont="1" applyFill="1" applyBorder="1" applyProtection="1"/>
    <xf numFmtId="1" fontId="2" fillId="18" borderId="9" xfId="0" applyNumberFormat="1" applyFont="1" applyFill="1" applyBorder="1" applyProtection="1"/>
    <xf numFmtId="1" fontId="2" fillId="0" borderId="9" xfId="0" applyNumberFormat="1" applyFont="1" applyBorder="1" applyProtection="1"/>
    <xf numFmtId="0" fontId="5" fillId="10" borderId="13" xfId="0" applyFont="1" applyFill="1" applyBorder="1" applyProtection="1"/>
    <xf numFmtId="2" fontId="2" fillId="2" borderId="13" xfId="1" applyNumberFormat="1" applyFont="1" applyFill="1" applyBorder="1" applyProtection="1">
      <protection locked="0"/>
    </xf>
    <xf numFmtId="0" fontId="0" fillId="18" borderId="0" xfId="0" applyFont="1" applyFill="1" applyBorder="1"/>
    <xf numFmtId="0" fontId="0" fillId="18" borderId="0" xfId="0" applyFont="1" applyFill="1"/>
    <xf numFmtId="0" fontId="19" fillId="18" borderId="0" xfId="0" applyFont="1" applyFill="1" applyAlignment="1">
      <alignment vertical="center"/>
    </xf>
    <xf numFmtId="0" fontId="0" fillId="18" borderId="11" xfId="0" applyFont="1" applyFill="1" applyBorder="1"/>
    <xf numFmtId="0" fontId="0" fillId="18" borderId="1" xfId="0" applyFill="1" applyBorder="1" applyProtection="1"/>
    <xf numFmtId="0" fontId="0" fillId="18" borderId="2" xfId="0" applyFill="1" applyBorder="1" applyProtection="1"/>
    <xf numFmtId="0" fontId="5" fillId="18" borderId="0" xfId="0" applyFont="1" applyFill="1"/>
    <xf numFmtId="3" fontId="2" fillId="0" borderId="0" xfId="1" applyNumberFormat="1" applyFont="1" applyBorder="1" applyProtection="1"/>
    <xf numFmtId="3" fontId="2" fillId="0" borderId="9" xfId="1" applyNumberFormat="1" applyFont="1" applyBorder="1" applyProtection="1"/>
    <xf numFmtId="0" fontId="26" fillId="0" borderId="8" xfId="0" applyFont="1" applyFill="1" applyBorder="1" applyProtection="1"/>
    <xf numFmtId="0" fontId="12" fillId="18" borderId="0" xfId="0" applyFont="1" applyFill="1" applyBorder="1" applyProtection="1">
      <protection locked="0"/>
    </xf>
    <xf numFmtId="0" fontId="27" fillId="11" borderId="8" xfId="0" applyFont="1" applyFill="1" applyBorder="1" applyAlignment="1">
      <alignment horizontal="left" vertical="center" indent="4"/>
    </xf>
    <xf numFmtId="0" fontId="27" fillId="11" borderId="0" xfId="0" applyFont="1" applyFill="1" applyBorder="1" applyAlignment="1">
      <alignment horizontal="left" vertical="center" indent="4"/>
    </xf>
    <xf numFmtId="0" fontId="0" fillId="11" borderId="0" xfId="0" applyFill="1"/>
    <xf numFmtId="0" fontId="2" fillId="11" borderId="0" xfId="0" applyFont="1" applyFill="1" applyBorder="1" applyAlignment="1">
      <alignment horizontal="left" vertical="center"/>
    </xf>
    <xf numFmtId="0" fontId="6" fillId="18" borderId="0" xfId="0" applyFont="1" applyFill="1" applyAlignment="1">
      <alignment vertical="center"/>
    </xf>
    <xf numFmtId="0" fontId="0" fillId="12" borderId="10" xfId="0" applyFont="1" applyFill="1" applyBorder="1" applyAlignment="1">
      <alignment horizontal="left" vertical="center" indent="4"/>
    </xf>
    <xf numFmtId="0" fontId="0" fillId="12" borderId="11" xfId="0" applyFont="1" applyFill="1" applyBorder="1" applyAlignment="1">
      <alignment horizontal="left" vertical="center" indent="4"/>
    </xf>
    <xf numFmtId="0" fontId="0" fillId="12" borderId="11" xfId="0" applyFont="1" applyFill="1" applyBorder="1"/>
    <xf numFmtId="0" fontId="0" fillId="12" borderId="12" xfId="0" applyFill="1" applyBorder="1"/>
    <xf numFmtId="0" fontId="29" fillId="7" borderId="13" xfId="0" applyFont="1" applyFill="1" applyBorder="1" applyProtection="1">
      <protection locked="0"/>
    </xf>
    <xf numFmtId="0" fontId="30" fillId="7" borderId="13" xfId="0" applyFont="1" applyFill="1" applyBorder="1" applyProtection="1">
      <protection locked="0"/>
    </xf>
    <xf numFmtId="0" fontId="29" fillId="7" borderId="13" xfId="0" applyFont="1" applyFill="1" applyBorder="1" applyAlignment="1" applyProtection="1">
      <alignment wrapText="1"/>
      <protection locked="0"/>
    </xf>
    <xf numFmtId="0" fontId="4" fillId="10" borderId="13" xfId="0" applyFont="1" applyFill="1" applyBorder="1" applyProtection="1"/>
    <xf numFmtId="0" fontId="25" fillId="10" borderId="1" xfId="0" applyFont="1" applyFill="1" applyBorder="1" applyProtection="1"/>
    <xf numFmtId="0" fontId="5" fillId="10" borderId="14" xfId="0" applyFont="1" applyFill="1" applyBorder="1" applyProtection="1"/>
    <xf numFmtId="0" fontId="5" fillId="10" borderId="2" xfId="0" applyFont="1" applyFill="1" applyBorder="1" applyProtection="1"/>
    <xf numFmtId="166" fontId="5" fillId="10" borderId="13" xfId="1" applyNumberFormat="1" applyFont="1" applyFill="1" applyBorder="1" applyProtection="1"/>
    <xf numFmtId="0" fontId="5" fillId="10" borderId="13" xfId="1" applyNumberFormat="1" applyFont="1" applyFill="1" applyBorder="1" applyProtection="1"/>
    <xf numFmtId="164" fontId="5" fillId="10" borderId="13" xfId="1" applyFont="1" applyFill="1" applyBorder="1" applyProtection="1"/>
    <xf numFmtId="4" fontId="5" fillId="10" borderId="13" xfId="1" applyNumberFormat="1" applyFont="1" applyFill="1" applyBorder="1" applyProtection="1"/>
    <xf numFmtId="3" fontId="5" fillId="10" borderId="13" xfId="1" applyNumberFormat="1" applyFont="1" applyFill="1" applyBorder="1" applyProtection="1"/>
    <xf numFmtId="0" fontId="5" fillId="19" borderId="13" xfId="0" applyFont="1" applyFill="1" applyBorder="1" applyProtection="1"/>
    <xf numFmtId="0" fontId="5" fillId="20" borderId="13" xfId="0" applyFont="1" applyFill="1" applyBorder="1" applyProtection="1"/>
    <xf numFmtId="0" fontId="22" fillId="19" borderId="13" xfId="0" applyFont="1" applyFill="1" applyBorder="1" applyProtection="1"/>
    <xf numFmtId="0" fontId="15" fillId="15" borderId="13" xfId="0" applyFont="1" applyFill="1" applyBorder="1" applyProtection="1"/>
    <xf numFmtId="0" fontId="15" fillId="13" borderId="13" xfId="0" applyFont="1" applyFill="1" applyBorder="1" applyProtection="1"/>
    <xf numFmtId="0" fontId="5" fillId="18" borderId="0" xfId="0" applyFont="1" applyFill="1" applyBorder="1" applyProtection="1"/>
    <xf numFmtId="0" fontId="5" fillId="18" borderId="9" xfId="0" applyFont="1" applyFill="1" applyBorder="1" applyProtection="1"/>
    <xf numFmtId="0" fontId="15" fillId="11" borderId="13" xfId="0" applyFont="1" applyFill="1" applyBorder="1" applyProtection="1"/>
    <xf numFmtId="165" fontId="2" fillId="18" borderId="0" xfId="2" applyNumberFormat="1" applyFont="1" applyFill="1" applyBorder="1" applyProtection="1"/>
    <xf numFmtId="9" fontId="2" fillId="18" borderId="0" xfId="2" applyFont="1" applyFill="1" applyBorder="1" applyProtection="1"/>
    <xf numFmtId="9" fontId="15" fillId="12" borderId="13" xfId="2" applyFont="1" applyFill="1" applyBorder="1" applyProtection="1"/>
    <xf numFmtId="165" fontId="15" fillId="12" borderId="13" xfId="2" applyNumberFormat="1" applyFont="1" applyFill="1" applyBorder="1" applyProtection="1"/>
    <xf numFmtId="0" fontId="2" fillId="18" borderId="0" xfId="2" applyNumberFormat="1" applyFont="1" applyFill="1" applyBorder="1" applyProtection="1"/>
    <xf numFmtId="0" fontId="2" fillId="18" borderId="9" xfId="2" applyNumberFormat="1" applyFont="1" applyFill="1" applyBorder="1" applyProtection="1"/>
    <xf numFmtId="0" fontId="0" fillId="0" borderId="0" xfId="0" applyFont="1" applyFill="1"/>
    <xf numFmtId="0" fontId="5" fillId="21" borderId="13" xfId="0" applyFont="1" applyFill="1" applyBorder="1" applyProtection="1"/>
    <xf numFmtId="0" fontId="29" fillId="0" borderId="13" xfId="0" applyFont="1" applyFill="1" applyBorder="1" applyAlignment="1" applyProtection="1">
      <alignment horizontal="left" indent="1"/>
    </xf>
    <xf numFmtId="0" fontId="29" fillId="0" borderId="13" xfId="0" applyFont="1" applyFill="1" applyBorder="1" applyAlignment="1" applyProtection="1">
      <alignment horizontal="left" indent="2"/>
    </xf>
    <xf numFmtId="0" fontId="29" fillId="0" borderId="15" xfId="0" applyFont="1" applyFill="1" applyBorder="1" applyAlignment="1" applyProtection="1">
      <alignment horizontal="left" indent="1"/>
    </xf>
    <xf numFmtId="0" fontId="29" fillId="0" borderId="16" xfId="0" applyFont="1" applyFill="1" applyBorder="1" applyAlignment="1" applyProtection="1">
      <alignment horizontal="left" indent="1"/>
    </xf>
    <xf numFmtId="0" fontId="29" fillId="0" borderId="17" xfId="0" applyFont="1" applyFill="1" applyBorder="1" applyAlignment="1" applyProtection="1">
      <alignment horizontal="left" indent="1"/>
    </xf>
    <xf numFmtId="0" fontId="31" fillId="0" borderId="13" xfId="0" applyFont="1" applyFill="1" applyBorder="1" applyAlignment="1" applyProtection="1">
      <alignment horizontal="left" indent="1"/>
    </xf>
    <xf numFmtId="0" fontId="31" fillId="14" borderId="13" xfId="0" applyFont="1" applyFill="1" applyBorder="1" applyProtection="1">
      <protection locked="0"/>
    </xf>
    <xf numFmtId="0" fontId="0" fillId="11" borderId="11" xfId="0" applyFill="1" applyBorder="1"/>
    <xf numFmtId="0" fontId="0" fillId="11" borderId="0" xfId="0" applyFont="1" applyFill="1" applyBorder="1" applyAlignment="1">
      <alignment horizontal="left" vertical="center" indent="4"/>
    </xf>
    <xf numFmtId="0" fontId="0" fillId="11" borderId="0" xfId="0" applyFill="1" applyBorder="1"/>
    <xf numFmtId="0" fontId="0" fillId="8" borderId="6" xfId="0" applyFill="1" applyBorder="1"/>
    <xf numFmtId="0" fontId="0" fillId="8" borderId="7" xfId="0" applyFill="1" applyBorder="1"/>
    <xf numFmtId="0" fontId="2" fillId="8" borderId="8" xfId="0" applyFont="1" applyFill="1" applyBorder="1"/>
    <xf numFmtId="0" fontId="0" fillId="8" borderId="0" xfId="0" applyFill="1" applyBorder="1"/>
    <xf numFmtId="0" fontId="0" fillId="8" borderId="9" xfId="0" applyFill="1" applyBorder="1"/>
    <xf numFmtId="0" fontId="0" fillId="8" borderId="8" xfId="0" applyFont="1" applyFill="1" applyBorder="1"/>
    <xf numFmtId="0" fontId="0" fillId="8" borderId="8" xfId="0" applyFill="1" applyBorder="1"/>
    <xf numFmtId="0" fontId="0" fillId="8" borderId="11" xfId="0" applyFill="1" applyBorder="1"/>
    <xf numFmtId="0" fontId="0" fillId="8" borderId="12" xfId="0" applyFill="1" applyBorder="1"/>
    <xf numFmtId="0" fontId="6" fillId="8" borderId="5" xfId="0" applyFont="1" applyFill="1" applyBorder="1"/>
    <xf numFmtId="0" fontId="0" fillId="8" borderId="0" xfId="0" applyFill="1"/>
    <xf numFmtId="0" fontId="2" fillId="0" borderId="18" xfId="0" applyFont="1" applyBorder="1"/>
    <xf numFmtId="0" fontId="2" fillId="0" borderId="19" xfId="0" applyFont="1" applyBorder="1"/>
    <xf numFmtId="0" fontId="2" fillId="0" borderId="20" xfId="0" applyFont="1" applyBorder="1"/>
    <xf numFmtId="0" fontId="2" fillId="0" borderId="13" xfId="0" applyFont="1" applyBorder="1"/>
    <xf numFmtId="0" fontId="2" fillId="7" borderId="2" xfId="0" applyFont="1" applyFill="1" applyBorder="1"/>
    <xf numFmtId="0" fontId="2" fillId="0" borderId="2" xfId="0" applyFont="1" applyBorder="1"/>
    <xf numFmtId="0" fontId="0" fillId="0" borderId="21" xfId="0" applyBorder="1"/>
    <xf numFmtId="0" fontId="2" fillId="0" borderId="21" xfId="0" applyFont="1" applyBorder="1"/>
    <xf numFmtId="171" fontId="0" fillId="0" borderId="21" xfId="1" applyNumberFormat="1" applyFont="1" applyBorder="1"/>
    <xf numFmtId="171" fontId="0" fillId="0" borderId="21" xfId="0" applyNumberFormat="1" applyBorder="1"/>
    <xf numFmtId="171" fontId="11" fillId="0" borderId="21" xfId="1" applyNumberFormat="1" applyFont="1" applyBorder="1"/>
    <xf numFmtId="171" fontId="11" fillId="0" borderId="21" xfId="0" applyNumberFormat="1" applyFont="1" applyBorder="1"/>
    <xf numFmtId="1" fontId="0" fillId="0" borderId="21" xfId="0" applyNumberFormat="1" applyBorder="1"/>
    <xf numFmtId="0" fontId="16" fillId="17" borderId="1" xfId="0" applyFont="1" applyFill="1" applyBorder="1"/>
    <xf numFmtId="0" fontId="0" fillId="17" borderId="14" xfId="0" applyFont="1" applyFill="1" applyBorder="1"/>
    <xf numFmtId="0" fontId="0" fillId="17" borderId="2" xfId="0" applyFill="1" applyBorder="1"/>
    <xf numFmtId="9" fontId="2" fillId="0" borderId="13" xfId="2" applyNumberFormat="1" applyFont="1" applyBorder="1" applyProtection="1"/>
    <xf numFmtId="0" fontId="29" fillId="0" borderId="0" xfId="0" applyFont="1" applyFill="1" applyBorder="1" applyProtection="1"/>
    <xf numFmtId="166" fontId="29" fillId="18" borderId="13" xfId="0" applyNumberFormat="1" applyFont="1" applyFill="1" applyBorder="1" applyAlignment="1" applyProtection="1">
      <alignment horizontal="left" indent="2"/>
    </xf>
    <xf numFmtId="166" fontId="2" fillId="18" borderId="13" xfId="1" applyNumberFormat="1" applyFont="1" applyFill="1" applyBorder="1" applyProtection="1"/>
    <xf numFmtId="3" fontId="2" fillId="18" borderId="13" xfId="1" applyNumberFormat="1" applyFont="1" applyFill="1" applyBorder="1" applyProtection="1"/>
    <xf numFmtId="0" fontId="2" fillId="22" borderId="13" xfId="0" applyFont="1" applyFill="1" applyBorder="1" applyProtection="1"/>
    <xf numFmtId="0" fontId="2" fillId="18" borderId="0" xfId="0" applyFont="1" applyFill="1" applyAlignment="1">
      <alignment wrapText="1"/>
    </xf>
    <xf numFmtId="0" fontId="2" fillId="0" borderId="0" xfId="0" applyFont="1" applyAlignment="1">
      <alignment wrapText="1"/>
    </xf>
    <xf numFmtId="0" fontId="36" fillId="18" borderId="0" xfId="0" applyFont="1" applyFill="1" applyBorder="1"/>
    <xf numFmtId="0" fontId="17" fillId="18" borderId="0" xfId="0" applyFont="1" applyFill="1" applyProtection="1"/>
    <xf numFmtId="0" fontId="34" fillId="18" borderId="0" xfId="0" applyFont="1" applyFill="1"/>
    <xf numFmtId="0" fontId="35" fillId="0" borderId="0" xfId="0" applyFont="1"/>
  </cellXfs>
  <cellStyles count="5">
    <cellStyle name="Erotin 2" xfId="3" xr:uid="{00000000-0005-0000-0000-000001000000}"/>
    <cellStyle name="Normaali" xfId="0" builtinId="0"/>
    <cellStyle name="Normaali 2" xfId="4" xr:uid="{00000000-0005-0000-0000-000003000000}"/>
    <cellStyle name="Pilkku" xfId="1" builtinId="3"/>
    <cellStyle name="Prosenttia" xfId="2" builtinId="5"/>
  </cellStyles>
  <dxfs count="4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f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fgColor theme="0"/>
        </patternFill>
      </fill>
    </dxf>
    <dxf>
      <font>
        <color theme="0"/>
      </font>
    </dxf>
    <dxf>
      <border outline="0">
        <bottom style="thin">
          <color theme="4" tint="0.39997558519241921"/>
        </bottom>
      </border>
    </dxf>
    <dxf>
      <font>
        <b val="0"/>
        <i val="0"/>
        <strike val="0"/>
        <condense val="0"/>
        <extend val="0"/>
        <outline val="0"/>
        <shadow val="0"/>
        <u val="none"/>
        <vertAlign val="baseline"/>
        <sz val="12"/>
        <color theme="1"/>
        <name val="Arial"/>
        <scheme val="none"/>
      </font>
    </dxf>
    <dxf>
      <font>
        <color theme="0"/>
      </font>
    </dxf>
    <dxf>
      <font>
        <color rgb="FF9C0006"/>
      </font>
    </dxf>
    <dxf>
      <font>
        <strike val="0"/>
        <color theme="0"/>
      </font>
    </dxf>
    <dxf>
      <font>
        <color theme="0"/>
      </font>
    </dxf>
    <dxf>
      <font>
        <color theme="0"/>
      </font>
    </dxf>
    <dxf>
      <font>
        <color theme="0"/>
      </font>
    </dxf>
    <dxf>
      <font>
        <color theme="0"/>
      </font>
    </dxf>
    <dxf>
      <font>
        <color theme="0"/>
      </font>
    </dxf>
    <dxf>
      <font>
        <color rgb="FF9C0006"/>
      </font>
    </dxf>
    <dxf>
      <font>
        <strike val="0"/>
        <color theme="0"/>
      </font>
    </dxf>
    <dxf>
      <font>
        <color theme="0"/>
      </font>
    </dxf>
    <dxf>
      <font>
        <color rgb="FF9C0006"/>
      </font>
    </dxf>
    <dxf>
      <font>
        <strike val="0"/>
        <color theme="0"/>
      </font>
    </dxf>
    <dxf>
      <font>
        <strike val="0"/>
        <color theme="0"/>
      </font>
    </dxf>
    <dxf>
      <font>
        <strike val="0"/>
        <color theme="0"/>
      </font>
    </dxf>
    <dxf>
      <font>
        <strike val="0"/>
        <color theme="0"/>
      </font>
    </dxf>
    <dxf>
      <font>
        <strike val="0"/>
        <color theme="0"/>
      </font>
    </dxf>
    <dxf>
      <font>
        <color theme="0"/>
      </font>
    </dxf>
    <dxf>
      <font>
        <color theme="0"/>
      </font>
    </dxf>
    <dxf>
      <font>
        <b/>
      </font>
    </dxf>
    <dxf>
      <font>
        <b/>
      </font>
    </dxf>
    <dxf>
      <font>
        <color rgb="FFFF000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a:t>
            </a:r>
            <a:r>
              <a:rPr lang="en-US" baseline="0"/>
              <a:t> </a:t>
            </a:r>
            <a:r>
              <a:rPr lang="en-US"/>
              <a:t>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'4. Cash flow '!$F$9</c:f>
              <c:strCache>
                <c:ptCount val="1"/>
                <c:pt idx="0">
                  <c:v>Cashflow_1</c:v>
                </c:pt>
              </c:strCache>
            </c:strRef>
          </c:tx>
          <c:spPr>
            <a:ln w="28575" cap="rnd">
              <a:solidFill>
                <a:srgbClr val="92D050"/>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c:f>
              <c:numCache>
                <c:formatCode>#\ ##0_ ;\-#\ ##0\ </c:formatCode>
                <c:ptCount val="21"/>
                <c:pt idx="0">
                  <c:v>-156400</c:v>
                </c:pt>
                <c:pt idx="1">
                  <c:v>-149908</c:v>
                </c:pt>
                <c:pt idx="2">
                  <c:v>-143286.16</c:v>
                </c:pt>
                <c:pt idx="3">
                  <c:v>-136531.88320000001</c:v>
                </c:pt>
                <c:pt idx="4">
                  <c:v>-129642.52086400001</c:v>
                </c:pt>
                <c:pt idx="5">
                  <c:v>-122615.37128128001</c:v>
                </c:pt>
                <c:pt idx="6">
                  <c:v>-115447.6787069056</c:v>
                </c:pt>
                <c:pt idx="7">
                  <c:v>-108136.63228104371</c:v>
                </c:pt>
                <c:pt idx="8">
                  <c:v>-100679.36492666458</c:v>
                </c:pt>
                <c:pt idx="9">
                  <c:v>-93072.952225197878</c:v>
                </c:pt>
                <c:pt idx="10">
                  <c:v>-85314.411269701843</c:v>
                </c:pt>
                <c:pt idx="11">
                  <c:v>-77400.699495095876</c:v>
                </c:pt>
                <c:pt idx="12">
                  <c:v>-69328.713484997788</c:v>
                </c:pt>
                <c:pt idx="13">
                  <c:v>-61095.287754697747</c:v>
                </c:pt>
                <c:pt idx="14">
                  <c:v>-52697.193509791701</c:v>
                </c:pt>
                <c:pt idx="15">
                  <c:v>-44131.137379987536</c:v>
                </c:pt>
                <c:pt idx="16">
                  <c:v>-35393.760127587288</c:v>
                </c:pt>
                <c:pt idx="17">
                  <c:v>-26481.635330139034</c:v>
                </c:pt>
                <c:pt idx="18">
                  <c:v>-17391.268036741814</c:v>
                </c:pt>
                <c:pt idx="19">
                  <c:v>-8119.0933974766504</c:v>
                </c:pt>
                <c:pt idx="20">
                  <c:v>1338.5247345738167</c:v>
                </c:pt>
              </c:numCache>
            </c:numRef>
          </c:val>
          <c:smooth val="0"/>
          <c:extLst>
            <c:ext xmlns:c16="http://schemas.microsoft.com/office/drawing/2014/chart" uri="{C3380CC4-5D6E-409C-BE32-E72D297353CC}">
              <c16:uniqueId val="{00000000-2B5D-42DB-BFCE-6ED3AD7A29FC}"/>
            </c:ext>
          </c:extLst>
        </c:ser>
        <c:ser>
          <c:idx val="1"/>
          <c:order val="1"/>
          <c:tx>
            <c:strRef>
              <c:f>'4. Cash flow '!$G$9</c:f>
              <c:strCache>
                <c:ptCount val="1"/>
                <c:pt idx="0">
                  <c:v>Cashflow_2</c:v>
                </c:pt>
              </c:strCache>
            </c:strRef>
          </c:tx>
          <c:spPr>
            <a:ln w="28575" cap="rnd">
              <a:solidFill>
                <a:srgbClr val="92D050"/>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c:f>
              <c:numCache>
                <c:formatCode>#\ ##0_ ;\-#\ ##0\ </c:formatCode>
                <c:ptCount val="21"/>
                <c:pt idx="0">
                  <c:v>-212500</c:v>
                </c:pt>
                <c:pt idx="1">
                  <c:v>-194650</c:v>
                </c:pt>
                <c:pt idx="2">
                  <c:v>-176443</c:v>
                </c:pt>
                <c:pt idx="3">
                  <c:v>-157871.85999999999</c:v>
                </c:pt>
                <c:pt idx="4">
                  <c:v>-138929.29719999997</c:v>
                </c:pt>
                <c:pt idx="5">
                  <c:v>-119607.88314399998</c:v>
                </c:pt>
                <c:pt idx="6">
                  <c:v>-99900.040806879973</c:v>
                </c:pt>
                <c:pt idx="7">
                  <c:v>-79798.041623017576</c:v>
                </c:pt>
                <c:pt idx="8">
                  <c:v>-59294.00245547793</c:v>
                </c:pt>
                <c:pt idx="9">
                  <c:v>-38379.882504587491</c:v>
                </c:pt>
                <c:pt idx="10">
                  <c:v>-17047.480154679241</c:v>
                </c:pt>
                <c:pt idx="11">
                  <c:v>4711.5702422271743</c:v>
                </c:pt>
                <c:pt idx="12">
                  <c:v>26811.570242227175</c:v>
                </c:pt>
                <c:pt idx="13">
                  <c:v>48911.570242227172</c:v>
                </c:pt>
                <c:pt idx="14">
                  <c:v>71011.570242227172</c:v>
                </c:pt>
                <c:pt idx="15">
                  <c:v>93111.570242227172</c:v>
                </c:pt>
                <c:pt idx="16">
                  <c:v>115211.57024222717</c:v>
                </c:pt>
                <c:pt idx="17">
                  <c:v>137311.57024222717</c:v>
                </c:pt>
                <c:pt idx="18">
                  <c:v>159411.57024222717</c:v>
                </c:pt>
                <c:pt idx="19">
                  <c:v>181511.57024222717</c:v>
                </c:pt>
                <c:pt idx="20">
                  <c:v>203611.57024222717</c:v>
                </c:pt>
              </c:numCache>
            </c:numRef>
          </c:val>
          <c:smooth val="0"/>
          <c:extLst>
            <c:ext xmlns:c16="http://schemas.microsoft.com/office/drawing/2014/chart" uri="{C3380CC4-5D6E-409C-BE32-E72D297353CC}">
              <c16:uniqueId val="{00000001-2B5D-42DB-BFCE-6ED3AD7A29FC}"/>
            </c:ext>
          </c:extLst>
        </c:ser>
        <c:ser>
          <c:idx val="2"/>
          <c:order val="2"/>
          <c:tx>
            <c:strRef>
              <c:f>'4. Cash flow '!$H$9</c:f>
              <c:strCache>
                <c:ptCount val="1"/>
                <c:pt idx="0">
                  <c:v>Cashflow_1_Option 1. Energy/water prices change</c:v>
                </c:pt>
              </c:strCache>
            </c:strRef>
          </c:tx>
          <c:spPr>
            <a:ln w="28575" cap="rnd">
              <a:solidFill>
                <a:srgbClr val="7030A0"/>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[0]!Cashflow_1ep_change</c:f>
              <c:numCache>
                <c:formatCode>#\ ##0_ ;\-#\ ##0\ </c:formatCode>
                <c:ptCount val="21"/>
                <c:pt idx="0">
                  <c:v>-156400</c:v>
                </c:pt>
                <c:pt idx="1">
                  <c:v>-149908</c:v>
                </c:pt>
                <c:pt idx="2">
                  <c:v>-142942.36000000002</c:v>
                </c:pt>
                <c:pt idx="3">
                  <c:v>-135483.29320000001</c:v>
                </c:pt>
                <c:pt idx="4">
                  <c:v>-127510.30764400001</c:v>
                </c:pt>
                <c:pt idx="5">
                  <c:v>-119002.18283428001</c:v>
                </c:pt>
                <c:pt idx="6">
                  <c:v>-109936.9455994876</c:v>
                </c:pt>
                <c:pt idx="7">
                  <c:v>-100291.84519325502</c:v>
                </c:pt>
                <c:pt idx="8">
                  <c:v>-90043.327599351105</c:v>
                </c:pt>
                <c:pt idx="9">
                  <c:v>-79167.009018636061</c:v>
                </c:pt>
                <c:pt idx="10">
                  <c:v>-67637.648512325643</c:v>
                </c:pt>
                <c:pt idx="11">
                  <c:v>-55429.119775288513</c:v>
                </c:pt>
                <c:pt idx="12">
                  <c:v>-42514.382012292132</c:v>
                </c:pt>
                <c:pt idx="13">
                  <c:v>-28865.449889280761</c:v>
                </c:pt>
                <c:pt idx="14">
                  <c:v>-14453.362530911443</c:v>
                </c:pt>
                <c:pt idx="15">
                  <c:v>751.84846530990671</c:v>
                </c:pt>
                <c:pt idx="16">
                  <c:v>16766.155059554672</c:v>
                </c:pt>
                <c:pt idx="17">
                  <c:v>33316.090851626781</c:v>
                </c:pt>
                <c:pt idx="18">
                  <c:v>50417.724717461053</c:v>
                </c:pt>
                <c:pt idx="19">
                  <c:v>68087.60759927037</c:v>
                </c:pt>
                <c:pt idx="20">
                  <c:v>86342.786967533961</c:v>
                </c:pt>
              </c:numCache>
            </c:numRef>
          </c:val>
          <c:smooth val="0"/>
          <c:extLst>
            <c:ext xmlns:c16="http://schemas.microsoft.com/office/drawing/2014/chart" uri="{C3380CC4-5D6E-409C-BE32-E72D297353CC}">
              <c16:uniqueId val="{00000002-2B5D-42DB-BFCE-6ED3AD7A29FC}"/>
            </c:ext>
          </c:extLst>
        </c:ser>
        <c:ser>
          <c:idx val="3"/>
          <c:order val="3"/>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c:f>
              <c:numCache>
                <c:formatCode>#\ ##0_ ;\-#\ ##0\ </c:formatCode>
                <c:ptCount val="21"/>
                <c:pt idx="0">
                  <c:v>-212500</c:v>
                </c:pt>
                <c:pt idx="1">
                  <c:v>-194650</c:v>
                </c:pt>
                <c:pt idx="2">
                  <c:v>-175705</c:v>
                </c:pt>
                <c:pt idx="3">
                  <c:v>-155620.96</c:v>
                </c:pt>
                <c:pt idx="4">
                  <c:v>-134352.29499999998</c:v>
                </c:pt>
                <c:pt idx="5">
                  <c:v>-111851.82417399998</c:v>
                </c:pt>
                <c:pt idx="6">
                  <c:v>-88070.718429699962</c:v>
                </c:pt>
                <c:pt idx="7">
                  <c:v>-62958.446303680546</c:v>
                </c:pt>
                <c:pt idx="8">
                  <c:v>-36462.718140302342</c:v>
                </c:pt>
                <c:pt idx="9">
                  <c:v>-8529.4285009730174</c:v>
                </c:pt>
                <c:pt idx="10">
                  <c:v>20897.403251206953</c:v>
                </c:pt>
                <c:pt idx="11">
                  <c:v>51457.746183072355</c:v>
                </c:pt>
                <c:pt idx="12">
                  <c:v>83009.899402893716</c:v>
                </c:pt>
                <c:pt idx="13">
                  <c:v>115583.61721930972</c:v>
                </c:pt>
                <c:pt idx="14">
                  <c:v>149209.54657021823</c:v>
                </c:pt>
                <c:pt idx="15">
                  <c:v>183919.25380165398</c:v>
                </c:pt>
                <c:pt idx="16">
                  <c:v>219745.25225003279</c:v>
                </c:pt>
                <c:pt idx="17">
                  <c:v>256721.03065186297</c:v>
                </c:pt>
                <c:pt idx="18">
                  <c:v>294881.08240574808</c:v>
                </c:pt>
                <c:pt idx="19">
                  <c:v>334260.93571224972</c:v>
                </c:pt>
                <c:pt idx="20">
                  <c:v>374897.18461794639</c:v>
                </c:pt>
              </c:numCache>
            </c:numRef>
          </c:val>
          <c:smooth val="0"/>
          <c:extLst>
            <c:ext xmlns:c16="http://schemas.microsoft.com/office/drawing/2014/chart" uri="{C3380CC4-5D6E-409C-BE32-E72D297353CC}">
              <c16:uniqueId val="{00000003-2B5D-42DB-BFCE-6ED3AD7A29FC}"/>
            </c:ext>
          </c:extLst>
        </c:ser>
        <c:ser>
          <c:idx val="4"/>
          <c:order val="4"/>
          <c:tx>
            <c:strRef>
              <c:f>'4. Cash flow '!$J$9</c:f>
              <c:strCache>
                <c:ptCount val="1"/>
                <c:pt idx="0">
                  <c:v>Cashflow_1 Option 2. Energy/water prices change</c:v>
                </c:pt>
              </c:strCache>
            </c:strRef>
          </c:tx>
          <c:spPr>
            <a:ln w="28575" cap="rnd">
              <a:solidFill>
                <a:schemeClr val="bg2">
                  <a:lumMod val="50000"/>
                </a:schemeClr>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[0]!Cashflow_1_ep_change2</c:f>
              <c:numCache>
                <c:formatCode>#\ ##0_ ;\-#\ ##0\ </c:formatCode>
                <c:ptCount val="21"/>
                <c:pt idx="0">
                  <c:v>-156400</c:v>
                </c:pt>
                <c:pt idx="1">
                  <c:v>-149908</c:v>
                </c:pt>
                <c:pt idx="2">
                  <c:v>-142598.56</c:v>
                </c:pt>
                <c:pt idx="3">
                  <c:v>-134414.07520000002</c:v>
                </c:pt>
                <c:pt idx="4">
                  <c:v>-125293.31334400002</c:v>
                </c:pt>
                <c:pt idx="5">
                  <c:v>-115171.19364928002</c:v>
                </c:pt>
                <c:pt idx="6">
                  <c:v>-103978.55240296962</c:v>
                </c:pt>
                <c:pt idx="7">
                  <c:v>-91641.89442457525</c:v>
                </c:pt>
                <c:pt idx="8">
                  <c:v>-78083.12954502576</c:v>
                </c:pt>
                <c:pt idx="9">
                  <c:v>-63219.293201802822</c:v>
                </c:pt>
                <c:pt idx="10">
                  <c:v>-46962.250195668028</c:v>
                </c:pt>
                <c:pt idx="11">
                  <c:v>-29218.380597200285</c:v>
                </c:pt>
                <c:pt idx="12">
                  <c:v>-9888.246730620318</c:v>
                </c:pt>
                <c:pt idx="13">
                  <c:v>11133.759902002685</c:v>
                </c:pt>
                <c:pt idx="14">
                  <c:v>33737.117763272225</c:v>
                </c:pt>
                <c:pt idx="15">
                  <c:v>57807.077096217938</c:v>
                </c:pt>
                <c:pt idx="16">
                  <c:v>83431.633989140391</c:v>
                </c:pt>
                <c:pt idx="17">
                  <c:v>110704.06429563819</c:v>
                </c:pt>
                <c:pt idx="18">
                  <c:v>139723.24042052586</c:v>
                </c:pt>
                <c:pt idx="19">
                  <c:v>170593.9671129068</c:v>
                </c:pt>
                <c:pt idx="20">
                  <c:v>203427.3374068306</c:v>
                </c:pt>
              </c:numCache>
            </c:numRef>
          </c:val>
          <c:smooth val="0"/>
          <c:extLst>
            <c:ext xmlns:c16="http://schemas.microsoft.com/office/drawing/2014/chart" uri="{C3380CC4-5D6E-409C-BE32-E72D297353CC}">
              <c16:uniqueId val="{00000004-2B5D-42DB-BFCE-6ED3AD7A29FC}"/>
            </c:ext>
          </c:extLst>
        </c:ser>
        <c:ser>
          <c:idx val="5"/>
          <c:order val="5"/>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[0]!Cashflow_2ep_change2</c:f>
              <c:numCache>
                <c:formatCode>#\ ##0_ ;\-#\ ##0\ </c:formatCode>
                <c:ptCount val="21"/>
                <c:pt idx="0">
                  <c:v>-212500</c:v>
                </c:pt>
                <c:pt idx="1">
                  <c:v>-194650</c:v>
                </c:pt>
                <c:pt idx="2">
                  <c:v>-174967</c:v>
                </c:pt>
                <c:pt idx="3">
                  <c:v>-153325.78</c:v>
                </c:pt>
                <c:pt idx="4">
                  <c:v>-129593.302</c:v>
                </c:pt>
                <c:pt idx="5">
                  <c:v>-103628.234824</c:v>
                </c:pt>
                <c:pt idx="6">
                  <c:v>-75280.450311519991</c:v>
                </c:pt>
                <c:pt idx="7">
                  <c:v>-44390.489156252777</c:v>
                </c:pt>
                <c:pt idx="8">
                  <c:v>-10788.99456819037</c:v>
                </c:pt>
                <c:pt idx="9">
                  <c:v>25703.888173904539</c:v>
                </c:pt>
                <c:pt idx="10">
                  <c:v>64765.070565370785</c:v>
                </c:pt>
                <c:pt idx="11">
                  <c:v>106319.923900325</c:v>
                </c:pt>
                <c:pt idx="12">
                  <c:v>150518.06843537648</c:v>
                </c:pt>
                <c:pt idx="13">
                  <c:v>197518.10164253105</c:v>
                </c:pt>
                <c:pt idx="14">
                  <c:v>247488.13684211488</c:v>
                </c:pt>
                <c:pt idx="15">
                  <c:v>300606.37415367371</c:v>
                </c:pt>
                <c:pt idx="16">
                  <c:v>357061.7057039261</c:v>
                </c:pt>
                <c:pt idx="17">
                  <c:v>417054.35714719363</c:v>
                </c:pt>
                <c:pt idx="18">
                  <c:v>480796.56767705723</c:v>
                </c:pt>
                <c:pt idx="19">
                  <c:v>548513.31083871261</c:v>
                </c:pt>
                <c:pt idx="20">
                  <c:v>620443.05859006732</c:v>
                </c:pt>
              </c:numCache>
            </c:numRef>
          </c:val>
          <c:smooth val="0"/>
          <c:extLst>
            <c:ext xmlns:c16="http://schemas.microsoft.com/office/drawing/2014/chart" uri="{C3380CC4-5D6E-409C-BE32-E72D297353CC}">
              <c16:uniqueId val="{00000005-2B5D-42DB-BFCE-6ED3AD7A29FC}"/>
            </c:ext>
          </c:extLst>
        </c:ser>
        <c:dLbls>
          <c:showLegendKey val="0"/>
          <c:showVal val="0"/>
          <c:showCatName val="0"/>
          <c:showSerName val="0"/>
          <c:showPercent val="0"/>
          <c:showBubbleSize val="0"/>
        </c:dLbls>
        <c:smooth val="0"/>
        <c:axId val="456035776"/>
        <c:axId val="456040480"/>
      </c:lineChart>
      <c:catAx>
        <c:axId val="45603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040480"/>
        <c:crosses val="autoZero"/>
        <c:auto val="1"/>
        <c:lblAlgn val="ctr"/>
        <c:lblOffset val="100"/>
        <c:noMultiLvlLbl val="0"/>
      </c:catAx>
      <c:valAx>
        <c:axId val="456040480"/>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035776"/>
        <c:crosses val="autoZero"/>
        <c:crossBetween val="between"/>
      </c:valAx>
      <c:spPr>
        <a:noFill/>
        <a:ln>
          <a:noFill/>
        </a:ln>
        <a:effectLst/>
      </c:spPr>
    </c:plotArea>
    <c:legend>
      <c:legendPos val="b"/>
      <c:layout>
        <c:manualLayout>
          <c:xMode val="edge"/>
          <c:yMode val="edge"/>
          <c:x val="9.8109925608411419E-3"/>
          <c:y val="0.67360892388451443"/>
          <c:w val="0.98432278805386009"/>
          <c:h val="0.307872557596967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 emissions(t)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88885941324716"/>
          <c:y val="0.17171296296296298"/>
          <c:w val="0.80554605636010657"/>
          <c:h val="0.60106408573928261"/>
        </c:manualLayout>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[0]!Year_1CO2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[0]!CO2_1</c:f>
              <c:numCache>
                <c:formatCode>0</c:formatCode>
                <c:ptCount val="21"/>
                <c:pt idx="0" formatCode="General">
                  <c:v>0</c:v>
                </c:pt>
                <c:pt idx="1">
                  <c:v>-20.399999999999999</c:v>
                </c:pt>
                <c:pt idx="2">
                  <c:v>-40.799999999999997</c:v>
                </c:pt>
                <c:pt idx="3">
                  <c:v>-61.2</c:v>
                </c:pt>
                <c:pt idx="4">
                  <c:v>-81.599999999999994</c:v>
                </c:pt>
                <c:pt idx="5">
                  <c:v>-102</c:v>
                </c:pt>
                <c:pt idx="6">
                  <c:v>-122.4</c:v>
                </c:pt>
                <c:pt idx="7">
                  <c:v>-142.80000000000001</c:v>
                </c:pt>
                <c:pt idx="8">
                  <c:v>-163.19999999999999</c:v>
                </c:pt>
                <c:pt idx="9">
                  <c:v>-183.6</c:v>
                </c:pt>
                <c:pt idx="10">
                  <c:v>-204</c:v>
                </c:pt>
                <c:pt idx="11">
                  <c:v>-224.4</c:v>
                </c:pt>
                <c:pt idx="12">
                  <c:v>-244.8</c:v>
                </c:pt>
                <c:pt idx="13">
                  <c:v>-265.2</c:v>
                </c:pt>
                <c:pt idx="14">
                  <c:v>-285.60000000000002</c:v>
                </c:pt>
                <c:pt idx="15">
                  <c:v>-306</c:v>
                </c:pt>
                <c:pt idx="16">
                  <c:v>-326.39999999999998</c:v>
                </c:pt>
                <c:pt idx="17">
                  <c:v>-346.8</c:v>
                </c:pt>
                <c:pt idx="18">
                  <c:v>-367.2</c:v>
                </c:pt>
                <c:pt idx="19">
                  <c:v>-387.6</c:v>
                </c:pt>
                <c:pt idx="20">
                  <c:v>-408</c:v>
                </c:pt>
              </c:numCache>
            </c:numRef>
          </c:val>
          <c:smooth val="0"/>
          <c:extLst>
            <c:ext xmlns:c16="http://schemas.microsoft.com/office/drawing/2014/chart" uri="{C3380CC4-5D6E-409C-BE32-E72D297353CC}">
              <c16:uniqueId val="{00000000-37CE-45C1-ABAF-3F39EA39F388}"/>
            </c:ext>
          </c:extLst>
        </c:ser>
        <c:dLbls>
          <c:showLegendKey val="0"/>
          <c:showVal val="0"/>
          <c:showCatName val="0"/>
          <c:showSerName val="0"/>
          <c:showPercent val="0"/>
          <c:showBubbleSize val="0"/>
        </c:dLbls>
        <c:smooth val="0"/>
        <c:axId val="460060208"/>
        <c:axId val="460055896"/>
      </c:lineChart>
      <c:catAx>
        <c:axId val="4600602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5896"/>
        <c:crosses val="autoZero"/>
        <c:auto val="1"/>
        <c:lblAlgn val="ctr"/>
        <c:lblOffset val="100"/>
        <c:noMultiLvlLbl val="1"/>
      </c:catAx>
      <c:valAx>
        <c:axId val="460055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60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 emissions(t) 2</a:t>
            </a:r>
          </a:p>
        </c:rich>
      </c:tx>
      <c:layout>
        <c:manualLayout>
          <c:xMode val="edge"/>
          <c:yMode val="edge"/>
          <c:x val="0.23221212121212118"/>
          <c:y val="2.96610169491525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075518969219757"/>
          <c:y val="0.16139830508474581"/>
          <c:w val="0.79379026485325699"/>
          <c:h val="0.63487221406646199"/>
        </c:manualLayout>
      </c:layout>
      <c:lineChart>
        <c:grouping val="standard"/>
        <c:varyColors val="0"/>
        <c:ser>
          <c:idx val="1"/>
          <c:order val="0"/>
          <c:tx>
            <c:strRef>
              <c:f>'7. Change of CO2 emissions'!$G$11</c:f>
              <c:strCache>
                <c:ptCount val="1"/>
                <c:pt idx="0">
                  <c:v>CO2_2</c:v>
                </c:pt>
              </c:strCache>
            </c:strRef>
          </c:tx>
          <c:spPr>
            <a:ln w="28575" cap="rnd">
              <a:solidFill>
                <a:srgbClr val="92D050"/>
              </a:solidFill>
              <a:prstDash val="dash"/>
              <a:round/>
            </a:ln>
            <a:effectLst/>
          </c:spPr>
          <c:marker>
            <c:symbol val="none"/>
          </c:marker>
          <c:cat>
            <c:numRef>
              <c:f>[0]!Year_2CO2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[0]!CO2_2</c:f>
              <c:numCache>
                <c:formatCode>General</c:formatCode>
                <c:ptCount val="21"/>
                <c:pt idx="0">
                  <c:v>0</c:v>
                </c:pt>
                <c:pt idx="1">
                  <c:v>-46</c:v>
                </c:pt>
                <c:pt idx="2">
                  <c:v>-92</c:v>
                </c:pt>
                <c:pt idx="3">
                  <c:v>-138</c:v>
                </c:pt>
                <c:pt idx="4">
                  <c:v>-184</c:v>
                </c:pt>
                <c:pt idx="5">
                  <c:v>-230</c:v>
                </c:pt>
                <c:pt idx="6">
                  <c:v>-276</c:v>
                </c:pt>
                <c:pt idx="7">
                  <c:v>-322</c:v>
                </c:pt>
                <c:pt idx="8">
                  <c:v>-368</c:v>
                </c:pt>
                <c:pt idx="9">
                  <c:v>-414</c:v>
                </c:pt>
                <c:pt idx="10">
                  <c:v>-460</c:v>
                </c:pt>
                <c:pt idx="11">
                  <c:v>-506</c:v>
                </c:pt>
                <c:pt idx="12">
                  <c:v>-552</c:v>
                </c:pt>
                <c:pt idx="13">
                  <c:v>-598</c:v>
                </c:pt>
                <c:pt idx="14">
                  <c:v>-644</c:v>
                </c:pt>
                <c:pt idx="15">
                  <c:v>-690</c:v>
                </c:pt>
                <c:pt idx="16">
                  <c:v>-736</c:v>
                </c:pt>
                <c:pt idx="17">
                  <c:v>-782</c:v>
                </c:pt>
                <c:pt idx="18">
                  <c:v>-828</c:v>
                </c:pt>
                <c:pt idx="19">
                  <c:v>-874</c:v>
                </c:pt>
                <c:pt idx="20">
                  <c:v>-920</c:v>
                </c:pt>
              </c:numCache>
            </c:numRef>
          </c:val>
          <c:smooth val="0"/>
          <c:extLst>
            <c:ext xmlns:c16="http://schemas.microsoft.com/office/drawing/2014/chart" uri="{C3380CC4-5D6E-409C-BE32-E72D297353CC}">
              <c16:uniqueId val="{00000000-ABC0-4FD2-98BC-4FB4A0DDC814}"/>
            </c:ext>
          </c:extLst>
        </c:ser>
        <c:dLbls>
          <c:showLegendKey val="0"/>
          <c:showVal val="0"/>
          <c:showCatName val="0"/>
          <c:showSerName val="0"/>
          <c:showPercent val="0"/>
          <c:showBubbleSize val="0"/>
        </c:dLbls>
        <c:smooth val="0"/>
        <c:axId val="460060600"/>
        <c:axId val="460059424"/>
      </c:lineChart>
      <c:catAx>
        <c:axId val="4600606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9424"/>
        <c:crosses val="autoZero"/>
        <c:auto val="1"/>
        <c:lblAlgn val="ctr"/>
        <c:lblOffset val="100"/>
        <c:noMultiLvlLbl val="0"/>
      </c:catAx>
      <c:valAx>
        <c:axId val="46005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60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CO2-emissions (t), 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[0]!Year_CO2_biggest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[0]!CO2_1</c:f>
              <c:numCache>
                <c:formatCode>0</c:formatCode>
                <c:ptCount val="21"/>
                <c:pt idx="0" formatCode="General">
                  <c:v>0</c:v>
                </c:pt>
                <c:pt idx="1">
                  <c:v>-20.399999999999999</c:v>
                </c:pt>
                <c:pt idx="2">
                  <c:v>-40.799999999999997</c:v>
                </c:pt>
                <c:pt idx="3">
                  <c:v>-61.2</c:v>
                </c:pt>
                <c:pt idx="4">
                  <c:v>-81.599999999999994</c:v>
                </c:pt>
                <c:pt idx="5">
                  <c:v>-102</c:v>
                </c:pt>
                <c:pt idx="6">
                  <c:v>-122.4</c:v>
                </c:pt>
                <c:pt idx="7">
                  <c:v>-142.80000000000001</c:v>
                </c:pt>
                <c:pt idx="8">
                  <c:v>-163.19999999999999</c:v>
                </c:pt>
                <c:pt idx="9">
                  <c:v>-183.6</c:v>
                </c:pt>
                <c:pt idx="10">
                  <c:v>-204</c:v>
                </c:pt>
                <c:pt idx="11">
                  <c:v>-224.4</c:v>
                </c:pt>
                <c:pt idx="12">
                  <c:v>-244.8</c:v>
                </c:pt>
                <c:pt idx="13">
                  <c:v>-265.2</c:v>
                </c:pt>
                <c:pt idx="14">
                  <c:v>-285.60000000000002</c:v>
                </c:pt>
                <c:pt idx="15">
                  <c:v>-306</c:v>
                </c:pt>
                <c:pt idx="16">
                  <c:v>-326.39999999999998</c:v>
                </c:pt>
                <c:pt idx="17">
                  <c:v>-346.8</c:v>
                </c:pt>
                <c:pt idx="18">
                  <c:v>-367.2</c:v>
                </c:pt>
                <c:pt idx="19">
                  <c:v>-387.6</c:v>
                </c:pt>
                <c:pt idx="20">
                  <c:v>-408</c:v>
                </c:pt>
              </c:numCache>
            </c:numRef>
          </c:val>
          <c:smooth val="0"/>
          <c:extLst>
            <c:ext xmlns:c16="http://schemas.microsoft.com/office/drawing/2014/chart" uri="{C3380CC4-5D6E-409C-BE32-E72D297353CC}">
              <c16:uniqueId val="{00000000-4BD3-4927-B1E8-8859F6314780}"/>
            </c:ext>
          </c:extLst>
        </c:ser>
        <c:ser>
          <c:idx val="1"/>
          <c:order val="1"/>
          <c:tx>
            <c:strRef>
              <c:f>'7. Change of CO2 emissions'!$G$11</c:f>
              <c:strCache>
                <c:ptCount val="1"/>
                <c:pt idx="0">
                  <c:v>CO2_2</c:v>
                </c:pt>
              </c:strCache>
            </c:strRef>
          </c:tx>
          <c:spPr>
            <a:ln w="28575" cap="rnd">
              <a:solidFill>
                <a:srgbClr val="92D050"/>
              </a:solidFill>
              <a:prstDash val="dash"/>
              <a:round/>
            </a:ln>
            <a:effectLst/>
          </c:spPr>
          <c:marker>
            <c:symbol val="none"/>
          </c:marker>
          <c:cat>
            <c:numRef>
              <c:f>[0]!Year_CO2_biggest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[0]!CO2_2</c:f>
              <c:numCache>
                <c:formatCode>General</c:formatCode>
                <c:ptCount val="21"/>
                <c:pt idx="0">
                  <c:v>0</c:v>
                </c:pt>
                <c:pt idx="1">
                  <c:v>-46</c:v>
                </c:pt>
                <c:pt idx="2">
                  <c:v>-92</c:v>
                </c:pt>
                <c:pt idx="3">
                  <c:v>-138</c:v>
                </c:pt>
                <c:pt idx="4">
                  <c:v>-184</c:v>
                </c:pt>
                <c:pt idx="5">
                  <c:v>-230</c:v>
                </c:pt>
                <c:pt idx="6">
                  <c:v>-276</c:v>
                </c:pt>
                <c:pt idx="7">
                  <c:v>-322</c:v>
                </c:pt>
                <c:pt idx="8">
                  <c:v>-368</c:v>
                </c:pt>
                <c:pt idx="9">
                  <c:v>-414</c:v>
                </c:pt>
                <c:pt idx="10">
                  <c:v>-460</c:v>
                </c:pt>
                <c:pt idx="11">
                  <c:v>-506</c:v>
                </c:pt>
                <c:pt idx="12">
                  <c:v>-552</c:v>
                </c:pt>
                <c:pt idx="13">
                  <c:v>-598</c:v>
                </c:pt>
                <c:pt idx="14">
                  <c:v>-644</c:v>
                </c:pt>
                <c:pt idx="15">
                  <c:v>-690</c:v>
                </c:pt>
                <c:pt idx="16">
                  <c:v>-736</c:v>
                </c:pt>
                <c:pt idx="17">
                  <c:v>-782</c:v>
                </c:pt>
                <c:pt idx="18">
                  <c:v>-828</c:v>
                </c:pt>
                <c:pt idx="19">
                  <c:v>-874</c:v>
                </c:pt>
                <c:pt idx="20">
                  <c:v>-920</c:v>
                </c:pt>
              </c:numCache>
            </c:numRef>
          </c:val>
          <c:smooth val="0"/>
          <c:extLst>
            <c:ext xmlns:c16="http://schemas.microsoft.com/office/drawing/2014/chart" uri="{C3380CC4-5D6E-409C-BE32-E72D297353CC}">
              <c16:uniqueId val="{00000001-4BD3-4927-B1E8-8859F6314780}"/>
            </c:ext>
          </c:extLst>
        </c:ser>
        <c:dLbls>
          <c:showLegendKey val="0"/>
          <c:showVal val="0"/>
          <c:showCatName val="0"/>
          <c:showSerName val="0"/>
          <c:showPercent val="0"/>
          <c:showBubbleSize val="0"/>
        </c:dLbls>
        <c:smooth val="0"/>
        <c:axId val="460055112"/>
        <c:axId val="460057464"/>
      </c:lineChart>
      <c:catAx>
        <c:axId val="460055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7464"/>
        <c:crosses val="autoZero"/>
        <c:auto val="1"/>
        <c:lblAlgn val="ctr"/>
        <c:lblOffset val="100"/>
        <c:noMultiLvlLbl val="0"/>
      </c:catAx>
      <c:valAx>
        <c:axId val="460057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5112"/>
        <c:crosses val="autoZero"/>
        <c:crossBetween val="between"/>
      </c:valAx>
      <c:spPr>
        <a:noFill/>
        <a:ln>
          <a:noFill/>
        </a:ln>
        <a:effectLst/>
      </c:spPr>
    </c:plotArea>
    <c:legend>
      <c:legendPos val="b"/>
      <c:layout>
        <c:manualLayout>
          <c:xMode val="edge"/>
          <c:yMode val="edge"/>
          <c:x val="0.24018609528593807"/>
          <c:y val="0.91940108837746637"/>
          <c:w val="0.5196275042338081"/>
          <c:h val="6.515489617851823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a:t>
            </a:r>
            <a:r>
              <a:rPr lang="en-US" baseline="0"/>
              <a:t> </a:t>
            </a:r>
            <a:r>
              <a:rPr lang="en-US"/>
              <a:t>flow 1</a:t>
            </a:r>
          </a:p>
          <a:p>
            <a:pPr>
              <a:defRPr/>
            </a:pPr>
            <a:r>
              <a:rPr lang="en-US"/>
              <a:t> </a:t>
            </a:r>
          </a:p>
        </c:rich>
      </c:tx>
      <c:layout>
        <c:manualLayout>
          <c:xMode val="edge"/>
          <c:yMode val="edge"/>
          <c:x val="0.44267716535433066"/>
          <c:y val="1.54838646750867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871223288869713"/>
          <c:y val="7.3373601180113671E-2"/>
          <c:w val="0.78543764523625093"/>
          <c:h val="0.72126981787141553"/>
        </c:manualLayout>
      </c:layout>
      <c:lineChart>
        <c:grouping val="standard"/>
        <c:varyColors val="0"/>
        <c:ser>
          <c:idx val="0"/>
          <c:order val="0"/>
          <c:tx>
            <c:strRef>
              <c:f>'4. Cash flow '!$F$9</c:f>
              <c:strCache>
                <c:ptCount val="1"/>
                <c:pt idx="0">
                  <c:v>Cashflow_1</c:v>
                </c:pt>
              </c:strCache>
            </c:strRef>
          </c:tx>
          <c:spPr>
            <a:ln w="28575" cap="rnd">
              <a:solidFill>
                <a:srgbClr val="92D050"/>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c:f>
              <c:numCache>
                <c:formatCode>#\ ##0_ ;\-#\ ##0\ </c:formatCode>
                <c:ptCount val="21"/>
                <c:pt idx="0">
                  <c:v>-156400</c:v>
                </c:pt>
                <c:pt idx="1">
                  <c:v>-149908</c:v>
                </c:pt>
                <c:pt idx="2">
                  <c:v>-143286.16</c:v>
                </c:pt>
                <c:pt idx="3">
                  <c:v>-136531.88320000001</c:v>
                </c:pt>
                <c:pt idx="4">
                  <c:v>-129642.52086400001</c:v>
                </c:pt>
                <c:pt idx="5">
                  <c:v>-122615.37128128001</c:v>
                </c:pt>
                <c:pt idx="6">
                  <c:v>-115447.6787069056</c:v>
                </c:pt>
                <c:pt idx="7">
                  <c:v>-108136.63228104371</c:v>
                </c:pt>
                <c:pt idx="8">
                  <c:v>-100679.36492666458</c:v>
                </c:pt>
                <c:pt idx="9">
                  <c:v>-93072.952225197878</c:v>
                </c:pt>
                <c:pt idx="10">
                  <c:v>-85314.411269701843</c:v>
                </c:pt>
                <c:pt idx="11">
                  <c:v>-77400.699495095876</c:v>
                </c:pt>
                <c:pt idx="12">
                  <c:v>-69328.713484997788</c:v>
                </c:pt>
                <c:pt idx="13">
                  <c:v>-61095.287754697747</c:v>
                </c:pt>
                <c:pt idx="14">
                  <c:v>-52697.193509791701</c:v>
                </c:pt>
                <c:pt idx="15">
                  <c:v>-44131.137379987536</c:v>
                </c:pt>
                <c:pt idx="16">
                  <c:v>-35393.760127587288</c:v>
                </c:pt>
                <c:pt idx="17">
                  <c:v>-26481.635330139034</c:v>
                </c:pt>
                <c:pt idx="18">
                  <c:v>-17391.268036741814</c:v>
                </c:pt>
                <c:pt idx="19">
                  <c:v>-8119.0933974766504</c:v>
                </c:pt>
                <c:pt idx="20">
                  <c:v>1338.5247345738167</c:v>
                </c:pt>
              </c:numCache>
            </c:numRef>
          </c:val>
          <c:smooth val="0"/>
          <c:extLst>
            <c:ext xmlns:c16="http://schemas.microsoft.com/office/drawing/2014/chart" uri="{C3380CC4-5D6E-409C-BE32-E72D297353CC}">
              <c16:uniqueId val="{00000000-7AFB-46E1-B150-36F0B407AD79}"/>
            </c:ext>
          </c:extLst>
        </c:ser>
        <c:ser>
          <c:idx val="1"/>
          <c:order val="1"/>
          <c:tx>
            <c:strRef>
              <c:f>'4. Cash flow '!$H$9</c:f>
              <c:strCache>
                <c:ptCount val="1"/>
                <c:pt idx="0">
                  <c:v>Cashflow_1_Option 1. Energy/water prices change</c:v>
                </c:pt>
              </c:strCache>
            </c:strRef>
          </c:tx>
          <c:spPr>
            <a:ln w="28575" cap="rnd">
              <a:solidFill>
                <a:srgbClr val="7030A0"/>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[0]!Cashflow_1ep_change</c:f>
              <c:numCache>
                <c:formatCode>#\ ##0_ ;\-#\ ##0\ </c:formatCode>
                <c:ptCount val="21"/>
                <c:pt idx="0">
                  <c:v>-156400</c:v>
                </c:pt>
                <c:pt idx="1">
                  <c:v>-149908</c:v>
                </c:pt>
                <c:pt idx="2">
                  <c:v>-142942.36000000002</c:v>
                </c:pt>
                <c:pt idx="3">
                  <c:v>-135483.29320000001</c:v>
                </c:pt>
                <c:pt idx="4">
                  <c:v>-127510.30764400001</c:v>
                </c:pt>
                <c:pt idx="5">
                  <c:v>-119002.18283428001</c:v>
                </c:pt>
                <c:pt idx="6">
                  <c:v>-109936.9455994876</c:v>
                </c:pt>
                <c:pt idx="7">
                  <c:v>-100291.84519325502</c:v>
                </c:pt>
                <c:pt idx="8">
                  <c:v>-90043.327599351105</c:v>
                </c:pt>
                <c:pt idx="9">
                  <c:v>-79167.009018636061</c:v>
                </c:pt>
                <c:pt idx="10">
                  <c:v>-67637.648512325643</c:v>
                </c:pt>
                <c:pt idx="11">
                  <c:v>-55429.119775288513</c:v>
                </c:pt>
                <c:pt idx="12">
                  <c:v>-42514.382012292132</c:v>
                </c:pt>
                <c:pt idx="13">
                  <c:v>-28865.449889280761</c:v>
                </c:pt>
                <c:pt idx="14">
                  <c:v>-14453.362530911443</c:v>
                </c:pt>
                <c:pt idx="15">
                  <c:v>751.84846530990671</c:v>
                </c:pt>
                <c:pt idx="16">
                  <c:v>16766.155059554672</c:v>
                </c:pt>
                <c:pt idx="17">
                  <c:v>33316.090851626781</c:v>
                </c:pt>
                <c:pt idx="18">
                  <c:v>50417.724717461053</c:v>
                </c:pt>
                <c:pt idx="19">
                  <c:v>68087.60759927037</c:v>
                </c:pt>
                <c:pt idx="20">
                  <c:v>86342.786967533961</c:v>
                </c:pt>
              </c:numCache>
            </c:numRef>
          </c:val>
          <c:smooth val="0"/>
          <c:extLst>
            <c:ext xmlns:c16="http://schemas.microsoft.com/office/drawing/2014/chart" uri="{C3380CC4-5D6E-409C-BE32-E72D297353CC}">
              <c16:uniqueId val="{00000001-7AFB-46E1-B150-36F0B407AD79}"/>
            </c:ext>
          </c:extLst>
        </c:ser>
        <c:ser>
          <c:idx val="2"/>
          <c:order val="2"/>
          <c:tx>
            <c:strRef>
              <c:f>'4. Cash flow '!$J$9</c:f>
              <c:strCache>
                <c:ptCount val="1"/>
                <c:pt idx="0">
                  <c:v>Cashflow_1 Option 2. Energy/water prices change</c:v>
                </c:pt>
              </c:strCache>
            </c:strRef>
          </c:tx>
          <c:spPr>
            <a:ln w="28575" cap="rnd">
              <a:solidFill>
                <a:schemeClr val="accent3">
                  <a:lumMod val="75000"/>
                </a:schemeClr>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[0]!Cashflow_1_ep_change2</c:f>
              <c:numCache>
                <c:formatCode>#\ ##0_ ;\-#\ ##0\ </c:formatCode>
                <c:ptCount val="21"/>
                <c:pt idx="0">
                  <c:v>-156400</c:v>
                </c:pt>
                <c:pt idx="1">
                  <c:v>-149908</c:v>
                </c:pt>
                <c:pt idx="2">
                  <c:v>-142598.56</c:v>
                </c:pt>
                <c:pt idx="3">
                  <c:v>-134414.07520000002</c:v>
                </c:pt>
                <c:pt idx="4">
                  <c:v>-125293.31334400002</c:v>
                </c:pt>
                <c:pt idx="5">
                  <c:v>-115171.19364928002</c:v>
                </c:pt>
                <c:pt idx="6">
                  <c:v>-103978.55240296962</c:v>
                </c:pt>
                <c:pt idx="7">
                  <c:v>-91641.89442457525</c:v>
                </c:pt>
                <c:pt idx="8">
                  <c:v>-78083.12954502576</c:v>
                </c:pt>
                <c:pt idx="9">
                  <c:v>-63219.293201802822</c:v>
                </c:pt>
                <c:pt idx="10">
                  <c:v>-46962.250195668028</c:v>
                </c:pt>
                <c:pt idx="11">
                  <c:v>-29218.380597200285</c:v>
                </c:pt>
                <c:pt idx="12">
                  <c:v>-9888.246730620318</c:v>
                </c:pt>
                <c:pt idx="13">
                  <c:v>11133.759902002685</c:v>
                </c:pt>
                <c:pt idx="14">
                  <c:v>33737.117763272225</c:v>
                </c:pt>
                <c:pt idx="15">
                  <c:v>57807.077096217938</c:v>
                </c:pt>
                <c:pt idx="16">
                  <c:v>83431.633989140391</c:v>
                </c:pt>
                <c:pt idx="17">
                  <c:v>110704.06429563819</c:v>
                </c:pt>
                <c:pt idx="18">
                  <c:v>139723.24042052586</c:v>
                </c:pt>
                <c:pt idx="19">
                  <c:v>170593.9671129068</c:v>
                </c:pt>
                <c:pt idx="20">
                  <c:v>203427.3374068306</c:v>
                </c:pt>
              </c:numCache>
            </c:numRef>
          </c:val>
          <c:smooth val="0"/>
          <c:extLst>
            <c:ext xmlns:c16="http://schemas.microsoft.com/office/drawing/2014/chart" uri="{C3380CC4-5D6E-409C-BE32-E72D297353CC}">
              <c16:uniqueId val="{00000002-7AFB-46E1-B150-36F0B407AD79}"/>
            </c:ext>
          </c:extLst>
        </c:ser>
        <c:dLbls>
          <c:showLegendKey val="0"/>
          <c:showVal val="0"/>
          <c:showCatName val="0"/>
          <c:showSerName val="0"/>
          <c:showPercent val="0"/>
          <c:showBubbleSize val="0"/>
        </c:dLbls>
        <c:smooth val="0"/>
        <c:axId val="460057856"/>
        <c:axId val="460060992"/>
      </c:lineChart>
      <c:catAx>
        <c:axId val="46005785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332853941202541"/>
              <c:y val="0.7358982639747425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30" b="0" i="0" u="none" strike="noStrike" kern="1200" spc="-100" baseline="0">
                <a:solidFill>
                  <a:schemeClr val="tx1">
                    <a:lumMod val="65000"/>
                    <a:lumOff val="35000"/>
                  </a:schemeClr>
                </a:solidFill>
                <a:latin typeface="+mn-lt"/>
                <a:ea typeface="+mn-ea"/>
                <a:cs typeface="+mn-cs"/>
              </a:defRPr>
            </a:pPr>
            <a:endParaRPr lang="en-US"/>
          </a:p>
        </c:txPr>
        <c:crossAx val="460060992"/>
        <c:crosses val="autoZero"/>
        <c:auto val="1"/>
        <c:lblAlgn val="ctr"/>
        <c:lblOffset val="100"/>
        <c:noMultiLvlLbl val="1"/>
      </c:catAx>
      <c:valAx>
        <c:axId val="460060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2.7483550857512673E-3"/>
              <c:y val="3.9149295480884541E-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7856"/>
        <c:crosses val="autoZero"/>
        <c:crossBetween val="between"/>
      </c:valAx>
      <c:spPr>
        <a:noFill/>
        <a:ln>
          <a:noFill/>
        </a:ln>
        <a:effectLst/>
      </c:spPr>
    </c:plotArea>
    <c:legend>
      <c:legendPos val="b"/>
      <c:layout>
        <c:manualLayout>
          <c:xMode val="edge"/>
          <c:yMode val="edge"/>
          <c:x val="5.7361665408262333E-2"/>
          <c:y val="0.82213421946109944"/>
          <c:w val="0.88479967401335102"/>
          <c:h val="0.148836234920176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20036332356851"/>
          <c:y val="0.14849902534113063"/>
          <c:w val="0.79968575900594296"/>
          <c:h val="0.68777710349478249"/>
        </c:manualLayout>
      </c:layout>
      <c:lineChart>
        <c:grouping val="standard"/>
        <c:varyColors val="0"/>
        <c:ser>
          <c:idx val="0"/>
          <c:order val="0"/>
          <c:tx>
            <c:strRef>
              <c:f>'4. Cash flow '!$G$9</c:f>
              <c:strCache>
                <c:ptCount val="1"/>
                <c:pt idx="0">
                  <c:v>Cashflow_2</c:v>
                </c:pt>
              </c:strCache>
            </c:strRef>
          </c:tx>
          <c:spPr>
            <a:ln w="28575" cap="rnd">
              <a:solidFill>
                <a:srgbClr val="92D050"/>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c:f>
              <c:numCache>
                <c:formatCode>#\ ##0_ ;\-#\ ##0\ </c:formatCode>
                <c:ptCount val="21"/>
                <c:pt idx="0">
                  <c:v>-212500</c:v>
                </c:pt>
                <c:pt idx="1">
                  <c:v>-194650</c:v>
                </c:pt>
                <c:pt idx="2">
                  <c:v>-176443</c:v>
                </c:pt>
                <c:pt idx="3">
                  <c:v>-157871.85999999999</c:v>
                </c:pt>
                <c:pt idx="4">
                  <c:v>-138929.29719999997</c:v>
                </c:pt>
                <c:pt idx="5">
                  <c:v>-119607.88314399998</c:v>
                </c:pt>
                <c:pt idx="6">
                  <c:v>-99900.040806879973</c:v>
                </c:pt>
                <c:pt idx="7">
                  <c:v>-79798.041623017576</c:v>
                </c:pt>
                <c:pt idx="8">
                  <c:v>-59294.00245547793</c:v>
                </c:pt>
                <c:pt idx="9">
                  <c:v>-38379.882504587491</c:v>
                </c:pt>
                <c:pt idx="10">
                  <c:v>-17047.480154679241</c:v>
                </c:pt>
                <c:pt idx="11">
                  <c:v>4711.5702422271743</c:v>
                </c:pt>
                <c:pt idx="12">
                  <c:v>26811.570242227175</c:v>
                </c:pt>
                <c:pt idx="13">
                  <c:v>48911.570242227172</c:v>
                </c:pt>
                <c:pt idx="14">
                  <c:v>71011.570242227172</c:v>
                </c:pt>
                <c:pt idx="15">
                  <c:v>93111.570242227172</c:v>
                </c:pt>
                <c:pt idx="16">
                  <c:v>115211.57024222717</c:v>
                </c:pt>
                <c:pt idx="17">
                  <c:v>137311.57024222717</c:v>
                </c:pt>
                <c:pt idx="18">
                  <c:v>159411.57024222717</c:v>
                </c:pt>
                <c:pt idx="19">
                  <c:v>181511.57024222717</c:v>
                </c:pt>
                <c:pt idx="20">
                  <c:v>203611.57024222717</c:v>
                </c:pt>
              </c:numCache>
            </c:numRef>
          </c:val>
          <c:smooth val="0"/>
          <c:extLst>
            <c:ext xmlns:c16="http://schemas.microsoft.com/office/drawing/2014/chart" uri="{C3380CC4-5D6E-409C-BE32-E72D297353CC}">
              <c16:uniqueId val="{00000000-81E9-4F4C-A384-A0BEA2F1EBEB}"/>
            </c:ext>
          </c:extLst>
        </c:ser>
        <c:ser>
          <c:idx val="1"/>
          <c:order val="1"/>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c:f>
              <c:numCache>
                <c:formatCode>#\ ##0_ ;\-#\ ##0\ </c:formatCode>
                <c:ptCount val="21"/>
                <c:pt idx="0">
                  <c:v>-212500</c:v>
                </c:pt>
                <c:pt idx="1">
                  <c:v>-194650</c:v>
                </c:pt>
                <c:pt idx="2">
                  <c:v>-175705</c:v>
                </c:pt>
                <c:pt idx="3">
                  <c:v>-155620.96</c:v>
                </c:pt>
                <c:pt idx="4">
                  <c:v>-134352.29499999998</c:v>
                </c:pt>
                <c:pt idx="5">
                  <c:v>-111851.82417399998</c:v>
                </c:pt>
                <c:pt idx="6">
                  <c:v>-88070.718429699962</c:v>
                </c:pt>
                <c:pt idx="7">
                  <c:v>-62958.446303680546</c:v>
                </c:pt>
                <c:pt idx="8">
                  <c:v>-36462.718140302342</c:v>
                </c:pt>
                <c:pt idx="9">
                  <c:v>-8529.4285009730174</c:v>
                </c:pt>
                <c:pt idx="10">
                  <c:v>20897.403251206953</c:v>
                </c:pt>
                <c:pt idx="11">
                  <c:v>51457.746183072355</c:v>
                </c:pt>
                <c:pt idx="12">
                  <c:v>83009.899402893716</c:v>
                </c:pt>
                <c:pt idx="13">
                  <c:v>115583.61721930972</c:v>
                </c:pt>
                <c:pt idx="14">
                  <c:v>149209.54657021823</c:v>
                </c:pt>
                <c:pt idx="15">
                  <c:v>183919.25380165398</c:v>
                </c:pt>
                <c:pt idx="16">
                  <c:v>219745.25225003279</c:v>
                </c:pt>
                <c:pt idx="17">
                  <c:v>256721.03065186297</c:v>
                </c:pt>
                <c:pt idx="18">
                  <c:v>294881.08240574808</c:v>
                </c:pt>
                <c:pt idx="19">
                  <c:v>334260.93571224972</c:v>
                </c:pt>
                <c:pt idx="20">
                  <c:v>374897.18461794639</c:v>
                </c:pt>
              </c:numCache>
            </c:numRef>
          </c:val>
          <c:smooth val="0"/>
          <c:extLst>
            <c:ext xmlns:c16="http://schemas.microsoft.com/office/drawing/2014/chart" uri="{C3380CC4-5D6E-409C-BE32-E72D297353CC}">
              <c16:uniqueId val="{00000001-81E9-4F4C-A384-A0BEA2F1EBEB}"/>
            </c:ext>
          </c:extLst>
        </c:ser>
        <c:ser>
          <c:idx val="2"/>
          <c:order val="2"/>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[0]!Cashflow_2ep_change2</c:f>
              <c:numCache>
                <c:formatCode>#\ ##0_ ;\-#\ ##0\ </c:formatCode>
                <c:ptCount val="21"/>
                <c:pt idx="0">
                  <c:v>-212500</c:v>
                </c:pt>
                <c:pt idx="1">
                  <c:v>-194650</c:v>
                </c:pt>
                <c:pt idx="2">
                  <c:v>-174967</c:v>
                </c:pt>
                <c:pt idx="3">
                  <c:v>-153325.78</c:v>
                </c:pt>
                <c:pt idx="4">
                  <c:v>-129593.302</c:v>
                </c:pt>
                <c:pt idx="5">
                  <c:v>-103628.234824</c:v>
                </c:pt>
                <c:pt idx="6">
                  <c:v>-75280.450311519991</c:v>
                </c:pt>
                <c:pt idx="7">
                  <c:v>-44390.489156252777</c:v>
                </c:pt>
                <c:pt idx="8">
                  <c:v>-10788.99456819037</c:v>
                </c:pt>
                <c:pt idx="9">
                  <c:v>25703.888173904539</c:v>
                </c:pt>
                <c:pt idx="10">
                  <c:v>64765.070565370785</c:v>
                </c:pt>
                <c:pt idx="11">
                  <c:v>106319.923900325</c:v>
                </c:pt>
                <c:pt idx="12">
                  <c:v>150518.06843537648</c:v>
                </c:pt>
                <c:pt idx="13">
                  <c:v>197518.10164253105</c:v>
                </c:pt>
                <c:pt idx="14">
                  <c:v>247488.13684211488</c:v>
                </c:pt>
                <c:pt idx="15">
                  <c:v>300606.37415367371</c:v>
                </c:pt>
                <c:pt idx="16">
                  <c:v>357061.7057039261</c:v>
                </c:pt>
                <c:pt idx="17">
                  <c:v>417054.35714719363</c:v>
                </c:pt>
                <c:pt idx="18">
                  <c:v>480796.56767705723</c:v>
                </c:pt>
                <c:pt idx="19">
                  <c:v>548513.31083871261</c:v>
                </c:pt>
                <c:pt idx="20">
                  <c:v>620443.05859006732</c:v>
                </c:pt>
              </c:numCache>
            </c:numRef>
          </c:val>
          <c:smooth val="0"/>
          <c:extLst>
            <c:ext xmlns:c16="http://schemas.microsoft.com/office/drawing/2014/chart" uri="{C3380CC4-5D6E-409C-BE32-E72D297353CC}">
              <c16:uniqueId val="{00000002-81E9-4F4C-A384-A0BEA2F1EBEB}"/>
            </c:ext>
          </c:extLst>
        </c:ser>
        <c:dLbls>
          <c:showLegendKey val="0"/>
          <c:showVal val="0"/>
          <c:showCatName val="0"/>
          <c:showSerName val="0"/>
          <c:showPercent val="0"/>
          <c:showBubbleSize val="0"/>
        </c:dLbls>
        <c:smooth val="0"/>
        <c:axId val="460053936"/>
        <c:axId val="460054328"/>
      </c:lineChart>
      <c:catAx>
        <c:axId val="46005393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581744795269571"/>
              <c:y val="0.7598922503108165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460054328"/>
        <c:crosses val="autoZero"/>
        <c:auto val="1"/>
        <c:lblAlgn val="ctr"/>
        <c:lblOffset val="100"/>
        <c:noMultiLvlLbl val="1"/>
      </c:catAx>
      <c:valAx>
        <c:axId val="460054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
              <c:y val="6.518487820601373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3936"/>
        <c:crosses val="autoZero"/>
        <c:crossBetween val="between"/>
      </c:valAx>
      <c:spPr>
        <a:noFill/>
        <a:ln>
          <a:noFill/>
        </a:ln>
        <a:effectLst/>
      </c:spPr>
    </c:plotArea>
    <c:legend>
      <c:legendPos val="b"/>
      <c:layout>
        <c:manualLayout>
          <c:xMode val="edge"/>
          <c:yMode val="edge"/>
          <c:x val="5.8497981869913313E-2"/>
          <c:y val="0.85685063771002479"/>
          <c:w val="0.89260973394368481"/>
          <c:h val="0.12365625540181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 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'4. Cash flow '!$F$9</c:f>
              <c:strCache>
                <c:ptCount val="1"/>
                <c:pt idx="0">
                  <c:v>Cashflow_1</c:v>
                </c:pt>
              </c:strCache>
            </c:strRef>
          </c:tx>
          <c:spPr>
            <a:ln w="28575" cap="rnd">
              <a:solidFill>
                <a:srgbClr val="92D050"/>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c:f>
              <c:numCache>
                <c:formatCode>#\ ##0_ ;\-#\ ##0\ </c:formatCode>
                <c:ptCount val="21"/>
                <c:pt idx="0">
                  <c:v>-156400</c:v>
                </c:pt>
                <c:pt idx="1">
                  <c:v>-149908</c:v>
                </c:pt>
                <c:pt idx="2">
                  <c:v>-143286.16</c:v>
                </c:pt>
                <c:pt idx="3">
                  <c:v>-136531.88320000001</c:v>
                </c:pt>
                <c:pt idx="4">
                  <c:v>-129642.52086400001</c:v>
                </c:pt>
                <c:pt idx="5">
                  <c:v>-122615.37128128001</c:v>
                </c:pt>
                <c:pt idx="6">
                  <c:v>-115447.6787069056</c:v>
                </c:pt>
                <c:pt idx="7">
                  <c:v>-108136.63228104371</c:v>
                </c:pt>
                <c:pt idx="8">
                  <c:v>-100679.36492666458</c:v>
                </c:pt>
                <c:pt idx="9">
                  <c:v>-93072.952225197878</c:v>
                </c:pt>
                <c:pt idx="10">
                  <c:v>-85314.411269701843</c:v>
                </c:pt>
                <c:pt idx="11">
                  <c:v>-77400.699495095876</c:v>
                </c:pt>
                <c:pt idx="12">
                  <c:v>-69328.713484997788</c:v>
                </c:pt>
                <c:pt idx="13">
                  <c:v>-61095.287754697747</c:v>
                </c:pt>
                <c:pt idx="14">
                  <c:v>-52697.193509791701</c:v>
                </c:pt>
                <c:pt idx="15">
                  <c:v>-44131.137379987536</c:v>
                </c:pt>
                <c:pt idx="16">
                  <c:v>-35393.760127587288</c:v>
                </c:pt>
                <c:pt idx="17">
                  <c:v>-26481.635330139034</c:v>
                </c:pt>
                <c:pt idx="18">
                  <c:v>-17391.268036741814</c:v>
                </c:pt>
                <c:pt idx="19">
                  <c:v>-8119.0933974766504</c:v>
                </c:pt>
                <c:pt idx="20">
                  <c:v>1338.5247345738167</c:v>
                </c:pt>
              </c:numCache>
            </c:numRef>
          </c:val>
          <c:smooth val="0"/>
          <c:extLst>
            <c:ext xmlns:c16="http://schemas.microsoft.com/office/drawing/2014/chart" uri="{C3380CC4-5D6E-409C-BE32-E72D297353CC}">
              <c16:uniqueId val="{00000000-4B47-49B7-8CED-3CA2DE713440}"/>
            </c:ext>
          </c:extLst>
        </c:ser>
        <c:ser>
          <c:idx val="1"/>
          <c:order val="1"/>
          <c:tx>
            <c:strRef>
              <c:f>'4. Cash flow '!$G$9</c:f>
              <c:strCache>
                <c:ptCount val="1"/>
                <c:pt idx="0">
                  <c:v>Cashflow_2</c:v>
                </c:pt>
              </c:strCache>
            </c:strRef>
          </c:tx>
          <c:spPr>
            <a:ln w="28575" cap="rnd">
              <a:solidFill>
                <a:srgbClr val="92D050"/>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c:f>
              <c:numCache>
                <c:formatCode>#\ ##0_ ;\-#\ ##0\ </c:formatCode>
                <c:ptCount val="21"/>
                <c:pt idx="0">
                  <c:v>-212500</c:v>
                </c:pt>
                <c:pt idx="1">
                  <c:v>-194650</c:v>
                </c:pt>
                <c:pt idx="2">
                  <c:v>-176443</c:v>
                </c:pt>
                <c:pt idx="3">
                  <c:v>-157871.85999999999</c:v>
                </c:pt>
                <c:pt idx="4">
                  <c:v>-138929.29719999997</c:v>
                </c:pt>
                <c:pt idx="5">
                  <c:v>-119607.88314399998</c:v>
                </c:pt>
                <c:pt idx="6">
                  <c:v>-99900.040806879973</c:v>
                </c:pt>
                <c:pt idx="7">
                  <c:v>-79798.041623017576</c:v>
                </c:pt>
                <c:pt idx="8">
                  <c:v>-59294.00245547793</c:v>
                </c:pt>
                <c:pt idx="9">
                  <c:v>-38379.882504587491</c:v>
                </c:pt>
                <c:pt idx="10">
                  <c:v>-17047.480154679241</c:v>
                </c:pt>
                <c:pt idx="11">
                  <c:v>4711.5702422271743</c:v>
                </c:pt>
                <c:pt idx="12">
                  <c:v>26811.570242227175</c:v>
                </c:pt>
                <c:pt idx="13">
                  <c:v>48911.570242227172</c:v>
                </c:pt>
                <c:pt idx="14">
                  <c:v>71011.570242227172</c:v>
                </c:pt>
                <c:pt idx="15">
                  <c:v>93111.570242227172</c:v>
                </c:pt>
                <c:pt idx="16">
                  <c:v>115211.57024222717</c:v>
                </c:pt>
                <c:pt idx="17">
                  <c:v>137311.57024222717</c:v>
                </c:pt>
                <c:pt idx="18">
                  <c:v>159411.57024222717</c:v>
                </c:pt>
                <c:pt idx="19">
                  <c:v>181511.57024222717</c:v>
                </c:pt>
                <c:pt idx="20">
                  <c:v>203611.57024222717</c:v>
                </c:pt>
              </c:numCache>
            </c:numRef>
          </c:val>
          <c:smooth val="0"/>
          <c:extLst>
            <c:ext xmlns:c16="http://schemas.microsoft.com/office/drawing/2014/chart" uri="{C3380CC4-5D6E-409C-BE32-E72D297353CC}">
              <c16:uniqueId val="{00000001-4B47-49B7-8CED-3CA2DE713440}"/>
            </c:ext>
          </c:extLst>
        </c:ser>
        <c:ser>
          <c:idx val="2"/>
          <c:order val="2"/>
          <c:tx>
            <c:strRef>
              <c:f>'4. Cash flow '!$H$9</c:f>
              <c:strCache>
                <c:ptCount val="1"/>
                <c:pt idx="0">
                  <c:v>Cashflow_1_Option 1. Energy/water prices change</c:v>
                </c:pt>
              </c:strCache>
            </c:strRef>
          </c:tx>
          <c:spPr>
            <a:ln w="28575" cap="rnd">
              <a:solidFill>
                <a:srgbClr val="7030A0"/>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[0]!Cashflow_1ep_change</c:f>
              <c:numCache>
                <c:formatCode>#\ ##0_ ;\-#\ ##0\ </c:formatCode>
                <c:ptCount val="21"/>
                <c:pt idx="0">
                  <c:v>-156400</c:v>
                </c:pt>
                <c:pt idx="1">
                  <c:v>-149908</c:v>
                </c:pt>
                <c:pt idx="2">
                  <c:v>-142942.36000000002</c:v>
                </c:pt>
                <c:pt idx="3">
                  <c:v>-135483.29320000001</c:v>
                </c:pt>
                <c:pt idx="4">
                  <c:v>-127510.30764400001</c:v>
                </c:pt>
                <c:pt idx="5">
                  <c:v>-119002.18283428001</c:v>
                </c:pt>
                <c:pt idx="6">
                  <c:v>-109936.9455994876</c:v>
                </c:pt>
                <c:pt idx="7">
                  <c:v>-100291.84519325502</c:v>
                </c:pt>
                <c:pt idx="8">
                  <c:v>-90043.327599351105</c:v>
                </c:pt>
                <c:pt idx="9">
                  <c:v>-79167.009018636061</c:v>
                </c:pt>
                <c:pt idx="10">
                  <c:v>-67637.648512325643</c:v>
                </c:pt>
                <c:pt idx="11">
                  <c:v>-55429.119775288513</c:v>
                </c:pt>
                <c:pt idx="12">
                  <c:v>-42514.382012292132</c:v>
                </c:pt>
                <c:pt idx="13">
                  <c:v>-28865.449889280761</c:v>
                </c:pt>
                <c:pt idx="14">
                  <c:v>-14453.362530911443</c:v>
                </c:pt>
                <c:pt idx="15">
                  <c:v>751.84846530990671</c:v>
                </c:pt>
                <c:pt idx="16">
                  <c:v>16766.155059554672</c:v>
                </c:pt>
                <c:pt idx="17">
                  <c:v>33316.090851626781</c:v>
                </c:pt>
                <c:pt idx="18">
                  <c:v>50417.724717461053</c:v>
                </c:pt>
                <c:pt idx="19">
                  <c:v>68087.60759927037</c:v>
                </c:pt>
                <c:pt idx="20">
                  <c:v>86342.786967533961</c:v>
                </c:pt>
              </c:numCache>
            </c:numRef>
          </c:val>
          <c:smooth val="0"/>
          <c:extLst>
            <c:ext xmlns:c16="http://schemas.microsoft.com/office/drawing/2014/chart" uri="{C3380CC4-5D6E-409C-BE32-E72D297353CC}">
              <c16:uniqueId val="{00000002-4B47-49B7-8CED-3CA2DE713440}"/>
            </c:ext>
          </c:extLst>
        </c:ser>
        <c:ser>
          <c:idx val="3"/>
          <c:order val="3"/>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c:f>
              <c:numCache>
                <c:formatCode>#\ ##0_ ;\-#\ ##0\ </c:formatCode>
                <c:ptCount val="21"/>
                <c:pt idx="0">
                  <c:v>-212500</c:v>
                </c:pt>
                <c:pt idx="1">
                  <c:v>-194650</c:v>
                </c:pt>
                <c:pt idx="2">
                  <c:v>-175705</c:v>
                </c:pt>
                <c:pt idx="3">
                  <c:v>-155620.96</c:v>
                </c:pt>
                <c:pt idx="4">
                  <c:v>-134352.29499999998</c:v>
                </c:pt>
                <c:pt idx="5">
                  <c:v>-111851.82417399998</c:v>
                </c:pt>
                <c:pt idx="6">
                  <c:v>-88070.718429699962</c:v>
                </c:pt>
                <c:pt idx="7">
                  <c:v>-62958.446303680546</c:v>
                </c:pt>
                <c:pt idx="8">
                  <c:v>-36462.718140302342</c:v>
                </c:pt>
                <c:pt idx="9">
                  <c:v>-8529.4285009730174</c:v>
                </c:pt>
                <c:pt idx="10">
                  <c:v>20897.403251206953</c:v>
                </c:pt>
                <c:pt idx="11">
                  <c:v>51457.746183072355</c:v>
                </c:pt>
                <c:pt idx="12">
                  <c:v>83009.899402893716</c:v>
                </c:pt>
                <c:pt idx="13">
                  <c:v>115583.61721930972</c:v>
                </c:pt>
                <c:pt idx="14">
                  <c:v>149209.54657021823</c:v>
                </c:pt>
                <c:pt idx="15">
                  <c:v>183919.25380165398</c:v>
                </c:pt>
                <c:pt idx="16">
                  <c:v>219745.25225003279</c:v>
                </c:pt>
                <c:pt idx="17">
                  <c:v>256721.03065186297</c:v>
                </c:pt>
                <c:pt idx="18">
                  <c:v>294881.08240574808</c:v>
                </c:pt>
                <c:pt idx="19">
                  <c:v>334260.93571224972</c:v>
                </c:pt>
                <c:pt idx="20">
                  <c:v>374897.18461794639</c:v>
                </c:pt>
              </c:numCache>
            </c:numRef>
          </c:val>
          <c:smooth val="0"/>
          <c:extLst>
            <c:ext xmlns:c16="http://schemas.microsoft.com/office/drawing/2014/chart" uri="{C3380CC4-5D6E-409C-BE32-E72D297353CC}">
              <c16:uniqueId val="{00000003-4B47-49B7-8CED-3CA2DE713440}"/>
            </c:ext>
          </c:extLst>
        </c:ser>
        <c:ser>
          <c:idx val="4"/>
          <c:order val="4"/>
          <c:tx>
            <c:strRef>
              <c:f>'4. Cash flow '!$J$9</c:f>
              <c:strCache>
                <c:ptCount val="1"/>
                <c:pt idx="0">
                  <c:v>Cashflow_1 Option 2. Energy/water prices change</c:v>
                </c:pt>
              </c:strCache>
            </c:strRef>
          </c:tx>
          <c:spPr>
            <a:ln w="28575" cap="rnd">
              <a:solidFill>
                <a:schemeClr val="bg2">
                  <a:lumMod val="50000"/>
                </a:schemeClr>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[0]!Cashflow_1_ep_change2</c:f>
              <c:numCache>
                <c:formatCode>#\ ##0_ ;\-#\ ##0\ </c:formatCode>
                <c:ptCount val="21"/>
                <c:pt idx="0">
                  <c:v>-156400</c:v>
                </c:pt>
                <c:pt idx="1">
                  <c:v>-149908</c:v>
                </c:pt>
                <c:pt idx="2">
                  <c:v>-142598.56</c:v>
                </c:pt>
                <c:pt idx="3">
                  <c:v>-134414.07520000002</c:v>
                </c:pt>
                <c:pt idx="4">
                  <c:v>-125293.31334400002</c:v>
                </c:pt>
                <c:pt idx="5">
                  <c:v>-115171.19364928002</c:v>
                </c:pt>
                <c:pt idx="6">
                  <c:v>-103978.55240296962</c:v>
                </c:pt>
                <c:pt idx="7">
                  <c:v>-91641.89442457525</c:v>
                </c:pt>
                <c:pt idx="8">
                  <c:v>-78083.12954502576</c:v>
                </c:pt>
                <c:pt idx="9">
                  <c:v>-63219.293201802822</c:v>
                </c:pt>
                <c:pt idx="10">
                  <c:v>-46962.250195668028</c:v>
                </c:pt>
                <c:pt idx="11">
                  <c:v>-29218.380597200285</c:v>
                </c:pt>
                <c:pt idx="12">
                  <c:v>-9888.246730620318</c:v>
                </c:pt>
                <c:pt idx="13">
                  <c:v>11133.759902002685</c:v>
                </c:pt>
                <c:pt idx="14">
                  <c:v>33737.117763272225</c:v>
                </c:pt>
                <c:pt idx="15">
                  <c:v>57807.077096217938</c:v>
                </c:pt>
                <c:pt idx="16">
                  <c:v>83431.633989140391</c:v>
                </c:pt>
                <c:pt idx="17">
                  <c:v>110704.06429563819</c:v>
                </c:pt>
                <c:pt idx="18">
                  <c:v>139723.24042052586</c:v>
                </c:pt>
                <c:pt idx="19">
                  <c:v>170593.9671129068</c:v>
                </c:pt>
                <c:pt idx="20">
                  <c:v>203427.3374068306</c:v>
                </c:pt>
              </c:numCache>
            </c:numRef>
          </c:val>
          <c:smooth val="0"/>
          <c:extLst>
            <c:ext xmlns:c16="http://schemas.microsoft.com/office/drawing/2014/chart" uri="{C3380CC4-5D6E-409C-BE32-E72D297353CC}">
              <c16:uniqueId val="{00000004-4B47-49B7-8CED-3CA2DE713440}"/>
            </c:ext>
          </c:extLst>
        </c:ser>
        <c:ser>
          <c:idx val="5"/>
          <c:order val="5"/>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[0]!Cashflow_2ep_change2</c:f>
              <c:numCache>
                <c:formatCode>#\ ##0_ ;\-#\ ##0\ </c:formatCode>
                <c:ptCount val="21"/>
                <c:pt idx="0">
                  <c:v>-212500</c:v>
                </c:pt>
                <c:pt idx="1">
                  <c:v>-194650</c:v>
                </c:pt>
                <c:pt idx="2">
                  <c:v>-174967</c:v>
                </c:pt>
                <c:pt idx="3">
                  <c:v>-153325.78</c:v>
                </c:pt>
                <c:pt idx="4">
                  <c:v>-129593.302</c:v>
                </c:pt>
                <c:pt idx="5">
                  <c:v>-103628.234824</c:v>
                </c:pt>
                <c:pt idx="6">
                  <c:v>-75280.450311519991</c:v>
                </c:pt>
                <c:pt idx="7">
                  <c:v>-44390.489156252777</c:v>
                </c:pt>
                <c:pt idx="8">
                  <c:v>-10788.99456819037</c:v>
                </c:pt>
                <c:pt idx="9">
                  <c:v>25703.888173904539</c:v>
                </c:pt>
                <c:pt idx="10">
                  <c:v>64765.070565370785</c:v>
                </c:pt>
                <c:pt idx="11">
                  <c:v>106319.923900325</c:v>
                </c:pt>
                <c:pt idx="12">
                  <c:v>150518.06843537648</c:v>
                </c:pt>
                <c:pt idx="13">
                  <c:v>197518.10164253105</c:v>
                </c:pt>
                <c:pt idx="14">
                  <c:v>247488.13684211488</c:v>
                </c:pt>
                <c:pt idx="15">
                  <c:v>300606.37415367371</c:v>
                </c:pt>
                <c:pt idx="16">
                  <c:v>357061.7057039261</c:v>
                </c:pt>
                <c:pt idx="17">
                  <c:v>417054.35714719363</c:v>
                </c:pt>
                <c:pt idx="18">
                  <c:v>480796.56767705723</c:v>
                </c:pt>
                <c:pt idx="19">
                  <c:v>548513.31083871261</c:v>
                </c:pt>
                <c:pt idx="20">
                  <c:v>620443.05859006732</c:v>
                </c:pt>
              </c:numCache>
            </c:numRef>
          </c:val>
          <c:smooth val="0"/>
          <c:extLst>
            <c:ext xmlns:c16="http://schemas.microsoft.com/office/drawing/2014/chart" uri="{C3380CC4-5D6E-409C-BE32-E72D297353CC}">
              <c16:uniqueId val="{00000005-4B47-49B7-8CED-3CA2DE713440}"/>
            </c:ext>
          </c:extLst>
        </c:ser>
        <c:dLbls>
          <c:showLegendKey val="0"/>
          <c:showVal val="0"/>
          <c:showCatName val="0"/>
          <c:showSerName val="0"/>
          <c:showPercent val="0"/>
          <c:showBubbleSize val="0"/>
        </c:dLbls>
        <c:smooth val="0"/>
        <c:axId val="460056288"/>
        <c:axId val="460056680"/>
      </c:lineChart>
      <c:catAx>
        <c:axId val="46005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6680"/>
        <c:crosses val="autoZero"/>
        <c:auto val="1"/>
        <c:lblAlgn val="ctr"/>
        <c:lblOffset val="100"/>
        <c:noMultiLvlLbl val="0"/>
      </c:catAx>
      <c:valAx>
        <c:axId val="460056680"/>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6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Present value NPV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842566897658782"/>
          <c:y val="0.11976495944999881"/>
          <c:w val="0.76402874511152441"/>
          <c:h val="0.65298197865126995"/>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c:f>
              <c:numCache>
                <c:formatCode>#\ ##0_ ;\-#\ ##0\ </c:formatCode>
                <c:ptCount val="21"/>
                <c:pt idx="0">
                  <c:v>-156400</c:v>
                </c:pt>
                <c:pt idx="1">
                  <c:v>-150157.69230769231</c:v>
                </c:pt>
                <c:pt idx="2">
                  <c:v>-144035.42899408285</c:v>
                </c:pt>
                <c:pt idx="3">
                  <c:v>-138030.90151342741</c:v>
                </c:pt>
                <c:pt idx="4">
                  <c:v>-132141.84571509226</c:v>
                </c:pt>
                <c:pt idx="5">
                  <c:v>-126366.04098980203</c:v>
                </c:pt>
                <c:pt idx="6">
                  <c:v>-120701.30943230583</c:v>
                </c:pt>
                <c:pt idx="7">
                  <c:v>-115145.51502014611</c:v>
                </c:pt>
                <c:pt idx="8">
                  <c:v>-109696.56280822022</c:v>
                </c:pt>
                <c:pt idx="9">
                  <c:v>-104352.39813883137</c:v>
                </c:pt>
                <c:pt idx="10">
                  <c:v>-99111.005866930762</c:v>
                </c:pt>
                <c:pt idx="11">
                  <c:v>-93970.409600259023</c:v>
                </c:pt>
                <c:pt idx="12">
                  <c:v>-88928.670954100206</c:v>
                </c:pt>
                <c:pt idx="13">
                  <c:v>-83983.888820367516</c:v>
                </c:pt>
                <c:pt idx="14">
                  <c:v>-79134.198650745064</c:v>
                </c:pt>
                <c:pt idx="15">
                  <c:v>-74377.77175361535</c:v>
                </c:pt>
                <c:pt idx="16">
                  <c:v>-69712.814604507366</c:v>
                </c:pt>
                <c:pt idx="17">
                  <c:v>-65137.568169805309</c:v>
                </c:pt>
                <c:pt idx="18">
                  <c:v>-60650.307243462899</c:v>
                </c:pt>
                <c:pt idx="19">
                  <c:v>-56249.339796473228</c:v>
                </c:pt>
                <c:pt idx="20">
                  <c:v>-51933.006338848747</c:v>
                </c:pt>
              </c:numCache>
            </c:numRef>
          </c:val>
          <c:smooth val="0"/>
          <c:extLst>
            <c:ext xmlns:c16="http://schemas.microsoft.com/office/drawing/2014/chart" uri="{C3380CC4-5D6E-409C-BE32-E72D297353CC}">
              <c16:uniqueId val="{00000000-4A77-4528-8D77-F265F8160F66}"/>
            </c:ext>
          </c:extLst>
        </c:ser>
        <c:ser>
          <c:idx val="1"/>
          <c:order val="1"/>
          <c:tx>
            <c:strRef>
              <c:f>'5. NPV'!$H$9</c:f>
              <c:strCache>
                <c:ptCount val="1"/>
                <c:pt idx="0">
                  <c:v>NPV_1 Option 1. Energy/water prices change</c:v>
                </c:pt>
              </c:strCache>
            </c:strRef>
          </c:tx>
          <c:spPr>
            <a:ln w="28575" cap="rnd">
              <a:solidFill>
                <a:srgbClr val="7030A0"/>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c:f>
              <c:numCache>
                <c:formatCode>#\ ##0_ ;\-#\ ##0\ </c:formatCode>
                <c:ptCount val="21"/>
                <c:pt idx="0">
                  <c:v>-156400</c:v>
                </c:pt>
                <c:pt idx="1">
                  <c:v>-150157.69230769231</c:v>
                </c:pt>
                <c:pt idx="2">
                  <c:v>-143717.56656804733</c:v>
                </c:pt>
                <c:pt idx="3">
                  <c:v>-137086.48334376421</c:v>
                </c:pt>
                <c:pt idx="4">
                  <c:v>-130271.14187547594</c:v>
                </c:pt>
                <c:pt idx="5">
                  <c:v>-123278.08346667532</c:v>
                </c:pt>
                <c:pt idx="6">
                  <c:v>-116113.69480082911</c:v>
                </c:pt>
                <c:pt idx="7">
                  <c:v>-108784.21119201051</c:v>
                </c:pt>
                <c:pt idx="8">
                  <c:v>-101295.71977035442</c:v>
                </c:pt>
                <c:pt idx="9">
                  <c:v>-93654.162603614444</c:v>
                </c:pt>
                <c:pt idx="10">
                  <c:v>-85865.33975607586</c:v>
                </c:pt>
                <c:pt idx="11">
                  <c:v>-77934.912286054358</c:v>
                </c:pt>
                <c:pt idx="12">
                  <c:v>-69868.405183186565</c:v>
                </c:pt>
                <c:pt idx="13">
                  <c:v>-61671.210246694762</c:v>
                </c:pt>
                <c:pt idx="14">
                  <c:v>-53348.588905785342</c:v>
                </c:pt>
                <c:pt idx="15">
                  <c:v>-44905.67498331808</c:v>
                </c:pt>
                <c:pt idx="16">
                  <c:v>-36355.505764711124</c:v>
                </c:pt>
                <c:pt idx="17">
                  <c:v>-27859.211508496675</c:v>
                </c:pt>
                <c:pt idx="18">
                  <c:v>-19417.364117081386</c:v>
                </c:pt>
                <c:pt idx="19">
                  <c:v>-11030.488073391414</c:v>
                </c:pt>
                <c:pt idx="20">
                  <c:v>-2699.0625091527654</c:v>
                </c:pt>
              </c:numCache>
            </c:numRef>
          </c:val>
          <c:smooth val="0"/>
          <c:extLst>
            <c:ext xmlns:c16="http://schemas.microsoft.com/office/drawing/2014/chart" uri="{C3380CC4-5D6E-409C-BE32-E72D297353CC}">
              <c16:uniqueId val="{00000001-4A77-4528-8D77-F265F8160F66}"/>
            </c:ext>
          </c:extLst>
        </c:ser>
        <c:ser>
          <c:idx val="2"/>
          <c:order val="2"/>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[0]!NPV_1ep_change2</c:f>
              <c:numCache>
                <c:formatCode>#\ ##0_ ;\-#\ ##0\ </c:formatCode>
                <c:ptCount val="21"/>
                <c:pt idx="0">
                  <c:v>-156400</c:v>
                </c:pt>
                <c:pt idx="1">
                  <c:v>-150157.69230769231</c:v>
                </c:pt>
                <c:pt idx="2">
                  <c:v>-143399.70414201185</c:v>
                </c:pt>
                <c:pt idx="3">
                  <c:v>-136123.72695721439</c:v>
                </c:pt>
                <c:pt idx="4">
                  <c:v>-128327.26149732152</c:v>
                </c:pt>
                <c:pt idx="5">
                  <c:v>-120007.61694236846</c:v>
                </c:pt>
                <c:pt idx="6">
                  <c:v>-111161.90998412299</c:v>
                </c:pt>
                <c:pt idx="7">
                  <c:v>-101787.06383095976</c:v>
                </c:pt>
                <c:pt idx="8">
                  <c:v>-91879.807141548052</c:v>
                </c:pt>
                <c:pt idx="9">
                  <c:v>-81436.672886985078</c:v>
                </c:pt>
                <c:pt idx="10">
                  <c:v>-70453.997140980355</c:v>
                </c:pt>
                <c:pt idx="11">
                  <c:v>-58927.917797670532</c:v>
                </c:pt>
                <c:pt idx="12">
                  <c:v>-46854.373216616987</c:v>
                </c:pt>
                <c:pt idx="13">
                  <c:v>-34229.100794512284</c:v>
                </c:pt>
                <c:pt idx="14">
                  <c:v>-21176.224841524745</c:v>
                </c:pt>
                <c:pt idx="15">
                  <c:v>-7811.0308421878981</c:v>
                </c:pt>
                <c:pt idx="16">
                  <c:v>5870.1295812703738</c:v>
                </c:pt>
                <c:pt idx="17">
                  <c:v>19871.065649983339</c:v>
                </c:pt>
                <c:pt idx="18">
                  <c:v>34195.747033808126</c:v>
                </c:pt>
                <c:pt idx="19">
                  <c:v>48848.303583244589</c:v>
                </c:pt>
                <c:pt idx="20">
                  <c:v>63833.025185184684</c:v>
                </c:pt>
              </c:numCache>
            </c:numRef>
          </c:val>
          <c:smooth val="0"/>
          <c:extLst>
            <c:ext xmlns:c16="http://schemas.microsoft.com/office/drawing/2014/chart" uri="{C3380CC4-5D6E-409C-BE32-E72D297353CC}">
              <c16:uniqueId val="{00000002-4A77-4528-8D77-F265F8160F66}"/>
            </c:ext>
          </c:extLst>
        </c:ser>
        <c:dLbls>
          <c:showLegendKey val="0"/>
          <c:showVal val="0"/>
          <c:showCatName val="0"/>
          <c:showSerName val="0"/>
          <c:showPercent val="0"/>
          <c:showBubbleSize val="0"/>
        </c:dLbls>
        <c:smooth val="0"/>
        <c:axId val="458876272"/>
        <c:axId val="458879800"/>
      </c:lineChart>
      <c:catAx>
        <c:axId val="45887627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734765942067598"/>
              <c:y val="0.540978706333037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458879800"/>
        <c:crosses val="autoZero"/>
        <c:auto val="1"/>
        <c:lblAlgn val="ctr"/>
        <c:lblOffset val="100"/>
        <c:noMultiLvlLbl val="0"/>
      </c:catAx>
      <c:valAx>
        <c:axId val="458879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6272"/>
        <c:crosses val="autoZero"/>
        <c:crossBetween val="between"/>
      </c:valAx>
      <c:spPr>
        <a:noFill/>
        <a:ln>
          <a:noFill/>
        </a:ln>
        <a:effectLst/>
      </c:spPr>
    </c:plotArea>
    <c:legend>
      <c:legendPos val="b"/>
      <c:layout>
        <c:manualLayout>
          <c:xMode val="edge"/>
          <c:yMode val="edge"/>
          <c:x val="0.19518892916533334"/>
          <c:y val="0.77971886381335198"/>
          <c:w val="0.5829732409364885"/>
          <c:h val="0.220281136186647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Net present value NPV 2</a:t>
            </a:r>
          </a:p>
        </c:rich>
      </c:tx>
      <c:layout>
        <c:manualLayout>
          <c:xMode val="edge"/>
          <c:yMode val="edge"/>
          <c:x val="0.30716577540106949"/>
          <c:y val="2.85132382892057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22872542001769"/>
          <c:y val="0.11633208781692513"/>
          <c:w val="0.78440350167709394"/>
          <c:h val="0.59783056959536574"/>
        </c:manualLayout>
      </c:layout>
      <c:lineChart>
        <c:grouping val="standard"/>
        <c:varyColors val="0"/>
        <c:ser>
          <c:idx val="0"/>
          <c:order val="0"/>
          <c:tx>
            <c:strRef>
              <c:f>'5. NPV'!$G$9</c:f>
              <c:strCache>
                <c:ptCount val="1"/>
                <c:pt idx="0">
                  <c:v>NPV_2</c:v>
                </c:pt>
              </c:strCache>
            </c:strRef>
          </c:tx>
          <c:spPr>
            <a:ln w="28575" cap="rnd">
              <a:solidFill>
                <a:srgbClr val="92D050"/>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c:f>
              <c:numCache>
                <c:formatCode>#\ ##0_ ;\-#\ ##0\ </c:formatCode>
                <c:ptCount val="21"/>
                <c:pt idx="0">
                  <c:v>-212500</c:v>
                </c:pt>
                <c:pt idx="1">
                  <c:v>-195336.53846153847</c:v>
                </c:pt>
                <c:pt idx="2">
                  <c:v>-178503.14349112427</c:v>
                </c:pt>
                <c:pt idx="3">
                  <c:v>-161993.4676547565</c:v>
                </c:pt>
                <c:pt idx="4">
                  <c:v>-145801.28558447273</c:v>
                </c:pt>
                <c:pt idx="5">
                  <c:v>-129920.49163092519</c:v>
                </c:pt>
                <c:pt idx="6">
                  <c:v>-114345.09756109971</c:v>
                </c:pt>
                <c:pt idx="7">
                  <c:v>-99069.23030030934</c:v>
                </c:pt>
                <c:pt idx="8">
                  <c:v>-84087.129717611097</c:v>
                </c:pt>
                <c:pt idx="9">
                  <c:v>-69393.146453810885</c:v>
                </c:pt>
                <c:pt idx="10">
                  <c:v>-54981.739791237604</c:v>
                </c:pt>
                <c:pt idx="11">
                  <c:v>-40847.475564483044</c:v>
                </c:pt>
                <c:pt idx="12">
                  <c:v>-27043.880768763604</c:v>
                </c:pt>
                <c:pt idx="13">
                  <c:v>-13771.19346518722</c:v>
                </c:pt>
                <c:pt idx="14">
                  <c:v>-1008.9941348253124</c:v>
                </c:pt>
                <c:pt idx="15">
                  <c:v>11262.351375138061</c:v>
                </c:pt>
                <c:pt idx="16">
                  <c:v>23061.722057795148</c:v>
                </c:pt>
                <c:pt idx="17">
                  <c:v>34407.27079111927</c:v>
                </c:pt>
                <c:pt idx="18">
                  <c:v>45316.452265469386</c:v>
                </c:pt>
                <c:pt idx="19">
                  <c:v>55806.049836959879</c:v>
                </c:pt>
                <c:pt idx="20">
                  <c:v>65892.201348008428</c:v>
                </c:pt>
              </c:numCache>
            </c:numRef>
          </c:val>
          <c:smooth val="0"/>
          <c:extLst>
            <c:ext xmlns:c16="http://schemas.microsoft.com/office/drawing/2014/chart" uri="{C3380CC4-5D6E-409C-BE32-E72D297353CC}">
              <c16:uniqueId val="{00000000-EF41-4E0E-A158-1108EC710E28}"/>
            </c:ext>
          </c:extLst>
        </c:ser>
        <c:ser>
          <c:idx val="1"/>
          <c:order val="1"/>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c:f>
              <c:numCache>
                <c:formatCode>#\ ##0_ ;\-#\ ##0\ </c:formatCode>
                <c:ptCount val="21"/>
                <c:pt idx="0">
                  <c:v>-212500</c:v>
                </c:pt>
                <c:pt idx="1">
                  <c:v>-195336.53846153847</c:v>
                </c:pt>
                <c:pt idx="2">
                  <c:v>-177820.82100591715</c:v>
                </c:pt>
                <c:pt idx="3">
                  <c:v>-159966.18257851616</c:v>
                </c:pt>
                <c:pt idx="4">
                  <c:v>-141785.63859890893</c:v>
                </c:pt>
                <c:pt idx="5">
                  <c:v>-123291.89171217155</c:v>
                </c:pt>
                <c:pt idx="6">
                  <c:v>-104497.33840452664</c:v>
                </c:pt>
                <c:pt idx="7">
                  <c:v>-85414.075485986847</c:v>
                </c:pt>
                <c:pt idx="8">
                  <c:v>-66053.906442611187</c:v>
                </c:pt>
                <c:pt idx="9">
                  <c:v>-46428.34766093683</c:v>
                </c:pt>
                <c:pt idx="10">
                  <c:v>-26548.634527098751</c:v>
                </c:pt>
                <c:pt idx="11">
                  <c:v>-6697.2184965246888</c:v>
                </c:pt>
                <c:pt idx="12">
                  <c:v>13010.163312473891</c:v>
                </c:pt>
                <c:pt idx="13">
                  <c:v>32573.094122076818</c:v>
                </c:pt>
                <c:pt idx="14">
                  <c:v>51991.230458952894</c:v>
                </c:pt>
                <c:pt idx="15">
                  <c:v>71264.298784139435</c:v>
                </c:pt>
                <c:pt idx="16">
                  <c:v>90392.092257837154</c:v>
                </c:pt>
                <c:pt idx="17">
                  <c:v>109374.4676338805</c:v>
                </c:pt>
                <c:pt idx="18">
                  <c:v>128211.34227884543</c:v>
                </c:pt>
                <c:pt idx="19">
                  <c:v>146902.69131095093</c:v>
                </c:pt>
                <c:pt idx="20">
                  <c:v>165448.54485409745</c:v>
                </c:pt>
              </c:numCache>
            </c:numRef>
          </c:val>
          <c:smooth val="0"/>
          <c:extLst>
            <c:ext xmlns:c16="http://schemas.microsoft.com/office/drawing/2014/chart" uri="{C3380CC4-5D6E-409C-BE32-E72D297353CC}">
              <c16:uniqueId val="{00000001-EF41-4E0E-A158-1108EC710E28}"/>
            </c:ext>
          </c:extLst>
        </c:ser>
        <c:ser>
          <c:idx val="2"/>
          <c:order val="2"/>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[0]!NPV_2ep_change2</c:f>
              <c:numCache>
                <c:formatCode>#\ ##0_ ;\-#\ ##0\ </c:formatCode>
                <c:ptCount val="21"/>
                <c:pt idx="0">
                  <c:v>-212500</c:v>
                </c:pt>
                <c:pt idx="1">
                  <c:v>-195336.53846153847</c:v>
                </c:pt>
                <c:pt idx="2">
                  <c:v>-177138.49852071007</c:v>
                </c:pt>
                <c:pt idx="3">
                  <c:v>-157899.5327435139</c:v>
                </c:pt>
                <c:pt idx="4">
                  <c:v>-137612.91108559314</c:v>
                </c:pt>
                <c:pt idx="5">
                  <c:v>-116271.51854481125</c:v>
                </c:pt>
                <c:pt idx="6">
                  <c:v>-93867.852672330249</c:v>
                </c:pt>
                <c:pt idx="7">
                  <c:v>-70394.020941322902</c:v>
                </c:pt>
                <c:pt idx="8">
                  <c:v>-45841.737972398536</c:v>
                </c:pt>
                <c:pt idx="9">
                  <c:v>-20202.322614769033</c:v>
                </c:pt>
                <c:pt idx="10">
                  <c:v>6186.0126008747793</c:v>
                </c:pt>
                <c:pt idx="11">
                  <c:v>33179.25294116931</c:v>
                </c:pt>
                <c:pt idx="12">
                  <c:v>60785.28361467574</c:v>
                </c:pt>
                <c:pt idx="13">
                  <c:v>89012.2856063621</c:v>
                </c:pt>
                <c:pt idx="14">
                  <c:v>117868.73582185032</c:v>
                </c:pt>
                <c:pt idx="15">
                  <c:v>147363.40744765877</c:v>
                </c:pt>
                <c:pt idx="16">
                  <c:v>177505.37052339333</c:v>
                </c:pt>
                <c:pt idx="17">
                  <c:v>208303.99272207747</c:v>
                </c:pt>
                <c:pt idx="18">
                  <c:v>239768.94033504184</c:v>
                </c:pt>
                <c:pt idx="19">
                  <c:v>271910.17945801676</c:v>
                </c:pt>
                <c:pt idx="20">
                  <c:v>304737.97737528681</c:v>
                </c:pt>
              </c:numCache>
            </c:numRef>
          </c:val>
          <c:smooth val="0"/>
          <c:extLst>
            <c:ext xmlns:c16="http://schemas.microsoft.com/office/drawing/2014/chart" uri="{C3380CC4-5D6E-409C-BE32-E72D297353CC}">
              <c16:uniqueId val="{00000002-EF41-4E0E-A158-1108EC710E28}"/>
            </c:ext>
          </c:extLst>
        </c:ser>
        <c:dLbls>
          <c:showLegendKey val="0"/>
          <c:showVal val="0"/>
          <c:showCatName val="0"/>
          <c:showSerName val="0"/>
          <c:showPercent val="0"/>
          <c:showBubbleSize val="0"/>
        </c:dLbls>
        <c:smooth val="0"/>
        <c:axId val="458879016"/>
        <c:axId val="458877056"/>
      </c:lineChart>
      <c:catAx>
        <c:axId val="45887901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445012726883458"/>
              <c:y val="0.598269059242138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7056"/>
        <c:crosses val="autoZero"/>
        <c:auto val="1"/>
        <c:lblAlgn val="ctr"/>
        <c:lblOffset val="100"/>
        <c:noMultiLvlLbl val="0"/>
      </c:catAx>
      <c:valAx>
        <c:axId val="458877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9016"/>
        <c:crosses val="autoZero"/>
        <c:crossBetween val="between"/>
      </c:valAx>
      <c:spPr>
        <a:noFill/>
        <a:ln>
          <a:noFill/>
        </a:ln>
        <a:effectLst/>
      </c:spPr>
    </c:plotArea>
    <c:legend>
      <c:legendPos val="b"/>
      <c:layout>
        <c:manualLayout>
          <c:xMode val="edge"/>
          <c:yMode val="edge"/>
          <c:x val="0.24497220935618336"/>
          <c:y val="0.71905030710265083"/>
          <c:w val="0.59294307128721202"/>
          <c:h val="0.275192199753034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a:t>
            </a:r>
            <a:r>
              <a:rPr lang="en-US" baseline="0"/>
              <a:t> present value</a:t>
            </a:r>
            <a:r>
              <a:rPr lang="en-US"/>
              <a:t>, 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c:f>
              <c:numCache>
                <c:formatCode>#\ ##0_ ;\-#\ ##0\ </c:formatCode>
                <c:ptCount val="21"/>
                <c:pt idx="0">
                  <c:v>-156400</c:v>
                </c:pt>
                <c:pt idx="1">
                  <c:v>-150157.69230769231</c:v>
                </c:pt>
                <c:pt idx="2">
                  <c:v>-144035.42899408285</c:v>
                </c:pt>
                <c:pt idx="3">
                  <c:v>-138030.90151342741</c:v>
                </c:pt>
                <c:pt idx="4">
                  <c:v>-132141.84571509226</c:v>
                </c:pt>
                <c:pt idx="5">
                  <c:v>-126366.04098980203</c:v>
                </c:pt>
                <c:pt idx="6">
                  <c:v>-120701.30943230583</c:v>
                </c:pt>
                <c:pt idx="7">
                  <c:v>-115145.51502014611</c:v>
                </c:pt>
                <c:pt idx="8">
                  <c:v>-109696.56280822022</c:v>
                </c:pt>
                <c:pt idx="9">
                  <c:v>-104352.39813883137</c:v>
                </c:pt>
                <c:pt idx="10">
                  <c:v>-99111.005866930762</c:v>
                </c:pt>
                <c:pt idx="11">
                  <c:v>-93970.409600259023</c:v>
                </c:pt>
                <c:pt idx="12">
                  <c:v>-88928.670954100206</c:v>
                </c:pt>
                <c:pt idx="13">
                  <c:v>-83983.888820367516</c:v>
                </c:pt>
                <c:pt idx="14">
                  <c:v>-79134.198650745064</c:v>
                </c:pt>
                <c:pt idx="15">
                  <c:v>-74377.77175361535</c:v>
                </c:pt>
                <c:pt idx="16">
                  <c:v>-69712.814604507366</c:v>
                </c:pt>
                <c:pt idx="17">
                  <c:v>-65137.568169805309</c:v>
                </c:pt>
                <c:pt idx="18">
                  <c:v>-60650.307243462899</c:v>
                </c:pt>
                <c:pt idx="19">
                  <c:v>-56249.339796473228</c:v>
                </c:pt>
                <c:pt idx="20">
                  <c:v>-51933.006338848747</c:v>
                </c:pt>
              </c:numCache>
            </c:numRef>
          </c:val>
          <c:smooth val="0"/>
          <c:extLst>
            <c:ext xmlns:c16="http://schemas.microsoft.com/office/drawing/2014/chart" uri="{C3380CC4-5D6E-409C-BE32-E72D297353CC}">
              <c16:uniqueId val="{00000000-B1CD-46AD-8E7D-E82404A6F7DC}"/>
            </c:ext>
          </c:extLst>
        </c:ser>
        <c:ser>
          <c:idx val="1"/>
          <c:order val="1"/>
          <c:tx>
            <c:strRef>
              <c:f>'5. NPV'!$G$9</c:f>
              <c:strCache>
                <c:ptCount val="1"/>
                <c:pt idx="0">
                  <c:v>NPV_2</c:v>
                </c:pt>
              </c:strCache>
            </c:strRef>
          </c:tx>
          <c:spPr>
            <a:ln w="28575" cap="rnd">
              <a:solidFill>
                <a:srgbClr val="92D050"/>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c:f>
              <c:numCache>
                <c:formatCode>#\ ##0_ ;\-#\ ##0\ </c:formatCode>
                <c:ptCount val="21"/>
                <c:pt idx="0">
                  <c:v>-212500</c:v>
                </c:pt>
                <c:pt idx="1">
                  <c:v>-195336.53846153847</c:v>
                </c:pt>
                <c:pt idx="2">
                  <c:v>-178503.14349112427</c:v>
                </c:pt>
                <c:pt idx="3">
                  <c:v>-161993.4676547565</c:v>
                </c:pt>
                <c:pt idx="4">
                  <c:v>-145801.28558447273</c:v>
                </c:pt>
                <c:pt idx="5">
                  <c:v>-129920.49163092519</c:v>
                </c:pt>
                <c:pt idx="6">
                  <c:v>-114345.09756109971</c:v>
                </c:pt>
                <c:pt idx="7">
                  <c:v>-99069.23030030934</c:v>
                </c:pt>
                <c:pt idx="8">
                  <c:v>-84087.129717611097</c:v>
                </c:pt>
                <c:pt idx="9">
                  <c:v>-69393.146453810885</c:v>
                </c:pt>
                <c:pt idx="10">
                  <c:v>-54981.739791237604</c:v>
                </c:pt>
                <c:pt idx="11">
                  <c:v>-40847.475564483044</c:v>
                </c:pt>
                <c:pt idx="12">
                  <c:v>-27043.880768763604</c:v>
                </c:pt>
                <c:pt idx="13">
                  <c:v>-13771.19346518722</c:v>
                </c:pt>
                <c:pt idx="14">
                  <c:v>-1008.9941348253124</c:v>
                </c:pt>
                <c:pt idx="15">
                  <c:v>11262.351375138061</c:v>
                </c:pt>
                <c:pt idx="16">
                  <c:v>23061.722057795148</c:v>
                </c:pt>
                <c:pt idx="17">
                  <c:v>34407.27079111927</c:v>
                </c:pt>
                <c:pt idx="18">
                  <c:v>45316.452265469386</c:v>
                </c:pt>
                <c:pt idx="19">
                  <c:v>55806.049836959879</c:v>
                </c:pt>
                <c:pt idx="20">
                  <c:v>65892.201348008428</c:v>
                </c:pt>
              </c:numCache>
            </c:numRef>
          </c:val>
          <c:smooth val="0"/>
          <c:extLst>
            <c:ext xmlns:c16="http://schemas.microsoft.com/office/drawing/2014/chart" uri="{C3380CC4-5D6E-409C-BE32-E72D297353CC}">
              <c16:uniqueId val="{00000001-B1CD-46AD-8E7D-E82404A6F7DC}"/>
            </c:ext>
          </c:extLst>
        </c:ser>
        <c:ser>
          <c:idx val="2"/>
          <c:order val="2"/>
          <c:tx>
            <c:strRef>
              <c:f>'5. NPV'!$H$9</c:f>
              <c:strCache>
                <c:ptCount val="1"/>
                <c:pt idx="0">
                  <c:v>NPV_1 Option 1. Energy/water prices change</c:v>
                </c:pt>
              </c:strCache>
            </c:strRef>
          </c:tx>
          <c:spPr>
            <a:ln w="28575" cap="rnd">
              <a:solidFill>
                <a:srgbClr val="7030A0"/>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c:f>
              <c:numCache>
                <c:formatCode>#\ ##0_ ;\-#\ ##0\ </c:formatCode>
                <c:ptCount val="21"/>
                <c:pt idx="0">
                  <c:v>-156400</c:v>
                </c:pt>
                <c:pt idx="1">
                  <c:v>-150157.69230769231</c:v>
                </c:pt>
                <c:pt idx="2">
                  <c:v>-143717.56656804733</c:v>
                </c:pt>
                <c:pt idx="3">
                  <c:v>-137086.48334376421</c:v>
                </c:pt>
                <c:pt idx="4">
                  <c:v>-130271.14187547594</c:v>
                </c:pt>
                <c:pt idx="5">
                  <c:v>-123278.08346667532</c:v>
                </c:pt>
                <c:pt idx="6">
                  <c:v>-116113.69480082911</c:v>
                </c:pt>
                <c:pt idx="7">
                  <c:v>-108784.21119201051</c:v>
                </c:pt>
                <c:pt idx="8">
                  <c:v>-101295.71977035442</c:v>
                </c:pt>
                <c:pt idx="9">
                  <c:v>-93654.162603614444</c:v>
                </c:pt>
                <c:pt idx="10">
                  <c:v>-85865.33975607586</c:v>
                </c:pt>
                <c:pt idx="11">
                  <c:v>-77934.912286054358</c:v>
                </c:pt>
                <c:pt idx="12">
                  <c:v>-69868.405183186565</c:v>
                </c:pt>
                <c:pt idx="13">
                  <c:v>-61671.210246694762</c:v>
                </c:pt>
                <c:pt idx="14">
                  <c:v>-53348.588905785342</c:v>
                </c:pt>
                <c:pt idx="15">
                  <c:v>-44905.67498331808</c:v>
                </c:pt>
                <c:pt idx="16">
                  <c:v>-36355.505764711124</c:v>
                </c:pt>
                <c:pt idx="17">
                  <c:v>-27859.211508496675</c:v>
                </c:pt>
                <c:pt idx="18">
                  <c:v>-19417.364117081386</c:v>
                </c:pt>
                <c:pt idx="19">
                  <c:v>-11030.488073391414</c:v>
                </c:pt>
                <c:pt idx="20">
                  <c:v>-2699.0625091527654</c:v>
                </c:pt>
              </c:numCache>
            </c:numRef>
          </c:val>
          <c:smooth val="0"/>
          <c:extLst>
            <c:ext xmlns:c16="http://schemas.microsoft.com/office/drawing/2014/chart" uri="{C3380CC4-5D6E-409C-BE32-E72D297353CC}">
              <c16:uniqueId val="{00000002-B1CD-46AD-8E7D-E82404A6F7DC}"/>
            </c:ext>
          </c:extLst>
        </c:ser>
        <c:ser>
          <c:idx val="3"/>
          <c:order val="3"/>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c:f>
              <c:numCache>
                <c:formatCode>#\ ##0_ ;\-#\ ##0\ </c:formatCode>
                <c:ptCount val="21"/>
                <c:pt idx="0">
                  <c:v>-212500</c:v>
                </c:pt>
                <c:pt idx="1">
                  <c:v>-195336.53846153847</c:v>
                </c:pt>
                <c:pt idx="2">
                  <c:v>-177820.82100591715</c:v>
                </c:pt>
                <c:pt idx="3">
                  <c:v>-159966.18257851616</c:v>
                </c:pt>
                <c:pt idx="4">
                  <c:v>-141785.63859890893</c:v>
                </c:pt>
                <c:pt idx="5">
                  <c:v>-123291.89171217155</c:v>
                </c:pt>
                <c:pt idx="6">
                  <c:v>-104497.33840452664</c:v>
                </c:pt>
                <c:pt idx="7">
                  <c:v>-85414.075485986847</c:v>
                </c:pt>
                <c:pt idx="8">
                  <c:v>-66053.906442611187</c:v>
                </c:pt>
                <c:pt idx="9">
                  <c:v>-46428.34766093683</c:v>
                </c:pt>
                <c:pt idx="10">
                  <c:v>-26548.634527098751</c:v>
                </c:pt>
                <c:pt idx="11">
                  <c:v>-6697.2184965246888</c:v>
                </c:pt>
                <c:pt idx="12">
                  <c:v>13010.163312473891</c:v>
                </c:pt>
                <c:pt idx="13">
                  <c:v>32573.094122076818</c:v>
                </c:pt>
                <c:pt idx="14">
                  <c:v>51991.230458952894</c:v>
                </c:pt>
                <c:pt idx="15">
                  <c:v>71264.298784139435</c:v>
                </c:pt>
                <c:pt idx="16">
                  <c:v>90392.092257837154</c:v>
                </c:pt>
                <c:pt idx="17">
                  <c:v>109374.4676338805</c:v>
                </c:pt>
                <c:pt idx="18">
                  <c:v>128211.34227884543</c:v>
                </c:pt>
                <c:pt idx="19">
                  <c:v>146902.69131095093</c:v>
                </c:pt>
                <c:pt idx="20">
                  <c:v>165448.54485409745</c:v>
                </c:pt>
              </c:numCache>
            </c:numRef>
          </c:val>
          <c:smooth val="0"/>
          <c:extLst>
            <c:ext xmlns:c16="http://schemas.microsoft.com/office/drawing/2014/chart" uri="{C3380CC4-5D6E-409C-BE32-E72D297353CC}">
              <c16:uniqueId val="{00000003-B1CD-46AD-8E7D-E82404A6F7DC}"/>
            </c:ext>
          </c:extLst>
        </c:ser>
        <c:ser>
          <c:idx val="4"/>
          <c:order val="4"/>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[0]!NPV_1ep_change2</c:f>
              <c:numCache>
                <c:formatCode>#\ ##0_ ;\-#\ ##0\ </c:formatCode>
                <c:ptCount val="21"/>
                <c:pt idx="0">
                  <c:v>-156400</c:v>
                </c:pt>
                <c:pt idx="1">
                  <c:v>-150157.69230769231</c:v>
                </c:pt>
                <c:pt idx="2">
                  <c:v>-143399.70414201185</c:v>
                </c:pt>
                <c:pt idx="3">
                  <c:v>-136123.72695721439</c:v>
                </c:pt>
                <c:pt idx="4">
                  <c:v>-128327.26149732152</c:v>
                </c:pt>
                <c:pt idx="5">
                  <c:v>-120007.61694236846</c:v>
                </c:pt>
                <c:pt idx="6">
                  <c:v>-111161.90998412299</c:v>
                </c:pt>
                <c:pt idx="7">
                  <c:v>-101787.06383095976</c:v>
                </c:pt>
                <c:pt idx="8">
                  <c:v>-91879.807141548052</c:v>
                </c:pt>
                <c:pt idx="9">
                  <c:v>-81436.672886985078</c:v>
                </c:pt>
                <c:pt idx="10">
                  <c:v>-70453.997140980355</c:v>
                </c:pt>
                <c:pt idx="11">
                  <c:v>-58927.917797670532</c:v>
                </c:pt>
                <c:pt idx="12">
                  <c:v>-46854.373216616987</c:v>
                </c:pt>
                <c:pt idx="13">
                  <c:v>-34229.100794512284</c:v>
                </c:pt>
                <c:pt idx="14">
                  <c:v>-21176.224841524745</c:v>
                </c:pt>
                <c:pt idx="15">
                  <c:v>-7811.0308421878981</c:v>
                </c:pt>
                <c:pt idx="16">
                  <c:v>5870.1295812703738</c:v>
                </c:pt>
                <c:pt idx="17">
                  <c:v>19871.065649983339</c:v>
                </c:pt>
                <c:pt idx="18">
                  <c:v>34195.747033808126</c:v>
                </c:pt>
                <c:pt idx="19">
                  <c:v>48848.303583244589</c:v>
                </c:pt>
                <c:pt idx="20">
                  <c:v>63833.025185184684</c:v>
                </c:pt>
              </c:numCache>
            </c:numRef>
          </c:val>
          <c:smooth val="0"/>
          <c:extLst>
            <c:ext xmlns:c16="http://schemas.microsoft.com/office/drawing/2014/chart" uri="{C3380CC4-5D6E-409C-BE32-E72D297353CC}">
              <c16:uniqueId val="{00000004-B1CD-46AD-8E7D-E82404A6F7DC}"/>
            </c:ext>
          </c:extLst>
        </c:ser>
        <c:ser>
          <c:idx val="5"/>
          <c:order val="5"/>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[0]!NPV_2ep_change2</c:f>
              <c:numCache>
                <c:formatCode>#\ ##0_ ;\-#\ ##0\ </c:formatCode>
                <c:ptCount val="21"/>
                <c:pt idx="0">
                  <c:v>-212500</c:v>
                </c:pt>
                <c:pt idx="1">
                  <c:v>-195336.53846153847</c:v>
                </c:pt>
                <c:pt idx="2">
                  <c:v>-177138.49852071007</c:v>
                </c:pt>
                <c:pt idx="3">
                  <c:v>-157899.5327435139</c:v>
                </c:pt>
                <c:pt idx="4">
                  <c:v>-137612.91108559314</c:v>
                </c:pt>
                <c:pt idx="5">
                  <c:v>-116271.51854481125</c:v>
                </c:pt>
                <c:pt idx="6">
                  <c:v>-93867.852672330249</c:v>
                </c:pt>
                <c:pt idx="7">
                  <c:v>-70394.020941322902</c:v>
                </c:pt>
                <c:pt idx="8">
                  <c:v>-45841.737972398536</c:v>
                </c:pt>
                <c:pt idx="9">
                  <c:v>-20202.322614769033</c:v>
                </c:pt>
                <c:pt idx="10">
                  <c:v>6186.0126008747793</c:v>
                </c:pt>
                <c:pt idx="11">
                  <c:v>33179.25294116931</c:v>
                </c:pt>
                <c:pt idx="12">
                  <c:v>60785.28361467574</c:v>
                </c:pt>
                <c:pt idx="13">
                  <c:v>89012.2856063621</c:v>
                </c:pt>
                <c:pt idx="14">
                  <c:v>117868.73582185032</c:v>
                </c:pt>
                <c:pt idx="15">
                  <c:v>147363.40744765877</c:v>
                </c:pt>
                <c:pt idx="16">
                  <c:v>177505.37052339333</c:v>
                </c:pt>
                <c:pt idx="17">
                  <c:v>208303.99272207747</c:v>
                </c:pt>
                <c:pt idx="18">
                  <c:v>239768.94033504184</c:v>
                </c:pt>
                <c:pt idx="19">
                  <c:v>271910.17945801676</c:v>
                </c:pt>
                <c:pt idx="20">
                  <c:v>304737.97737528681</c:v>
                </c:pt>
              </c:numCache>
            </c:numRef>
          </c:val>
          <c:smooth val="0"/>
          <c:extLst>
            <c:ext xmlns:c16="http://schemas.microsoft.com/office/drawing/2014/chart" uri="{C3380CC4-5D6E-409C-BE32-E72D297353CC}">
              <c16:uniqueId val="{00000005-B1CD-46AD-8E7D-E82404A6F7DC}"/>
            </c:ext>
          </c:extLst>
        </c:ser>
        <c:dLbls>
          <c:showLegendKey val="0"/>
          <c:showVal val="0"/>
          <c:showCatName val="0"/>
          <c:showSerName val="0"/>
          <c:showPercent val="0"/>
          <c:showBubbleSize val="0"/>
        </c:dLbls>
        <c:smooth val="0"/>
        <c:axId val="458873920"/>
        <c:axId val="458875488"/>
      </c:lineChart>
      <c:catAx>
        <c:axId val="458873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5488"/>
        <c:crosses val="autoZero"/>
        <c:auto val="1"/>
        <c:lblAlgn val="ctr"/>
        <c:lblOffset val="100"/>
        <c:noMultiLvlLbl val="0"/>
      </c:catAx>
      <c:valAx>
        <c:axId val="458875488"/>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3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Return on Investment</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23342458397296"/>
          <c:y val="0.14392462791862001"/>
          <c:w val="0.82069190943422654"/>
          <c:h val="0.59592371762778218"/>
        </c:manualLayout>
      </c:layout>
      <c:lineChart>
        <c:grouping val="standard"/>
        <c:varyColors val="0"/>
        <c:ser>
          <c:idx val="0"/>
          <c:order val="0"/>
          <c:tx>
            <c:v>Return on Investment 1</c:v>
          </c:tx>
          <c:spPr>
            <a:ln w="28575" cap="rnd">
              <a:solidFill>
                <a:schemeClr val="accent1"/>
              </a:solidFill>
              <a:round/>
            </a:ln>
            <a:effectLst/>
          </c:spPr>
          <c:marker>
            <c:symbol val="none"/>
          </c:marker>
          <c:val>
            <c:numRef>
              <c:f>'Solution 1, (hidden)'!$AD$5:$AD$55</c:f>
              <c:numCache>
                <c:formatCode>0%</c:formatCode>
                <c:ptCount val="51"/>
                <c:pt idx="0">
                  <c:v>0</c:v>
                </c:pt>
                <c:pt idx="1">
                  <c:v>4.1508951406649619E-2</c:v>
                </c:pt>
                <c:pt idx="2">
                  <c:v>8.384808184143222E-2</c:v>
                </c:pt>
                <c:pt idx="3">
                  <c:v>0.12703399488491049</c:v>
                </c:pt>
                <c:pt idx="4">
                  <c:v>0.17108362618925832</c:v>
                </c:pt>
                <c:pt idx="5">
                  <c:v>0.21601425011969308</c:v>
                </c:pt>
                <c:pt idx="6">
                  <c:v>0.26184348652873657</c:v>
                </c:pt>
                <c:pt idx="7">
                  <c:v>0.30858930766596093</c:v>
                </c:pt>
                <c:pt idx="8">
                  <c:v>0.35627004522592975</c:v>
                </c:pt>
                <c:pt idx="9">
                  <c:v>0.40490439753709795</c:v>
                </c:pt>
                <c:pt idx="10">
                  <c:v>0.45451143689448947</c:v>
                </c:pt>
                <c:pt idx="11">
                  <c:v>0.50511061703902893</c:v>
                </c:pt>
                <c:pt idx="12">
                  <c:v>0.55672178078645917</c:v>
                </c:pt>
                <c:pt idx="13">
                  <c:v>0.60936516780883798</c:v>
                </c:pt>
                <c:pt idx="14">
                  <c:v>0.66306142257166445</c:v>
                </c:pt>
                <c:pt idx="15">
                  <c:v>0.71783160242974731</c:v>
                </c:pt>
                <c:pt idx="16">
                  <c:v>0.77369718588499181</c:v>
                </c:pt>
                <c:pt idx="17">
                  <c:v>0.83068008100934132</c:v>
                </c:pt>
                <c:pt idx="18">
                  <c:v>0.88880263403617776</c:v>
                </c:pt>
                <c:pt idx="19">
                  <c:v>0.94808763812355101</c:v>
                </c:pt>
                <c:pt idx="20">
                  <c:v>1.0085583422926716</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numCache>
            </c:numRef>
          </c:val>
          <c:smooth val="0"/>
          <c:extLst>
            <c:ext xmlns:c15="http://schemas.microsoft.com/office/drawing/2012/chart" uri="{02D57815-91ED-43cb-92C2-25804820EDAC}">
              <c15:filteredCategoryTitle>
                <c15:cat>
                  <c:multiLvlStrRef>
                    <c:extLst>
                      <c:ext uri="{02D57815-91ED-43cb-92C2-25804820EDAC}">
                        <c15:formulaRef>
                          <c15:sqref>'5. Return on investment'!$J$4:$J$54</c15:sqref>
                        </c15:formulaRef>
                      </c:ext>
                    </c:extLst>
                  </c:multiLvlStrRef>
                </c15:cat>
              </c15:filteredCategoryTitle>
            </c:ext>
            <c:ext xmlns:c16="http://schemas.microsoft.com/office/drawing/2014/chart" uri="{C3380CC4-5D6E-409C-BE32-E72D297353CC}">
              <c16:uniqueId val="{00000000-2BF4-40C9-A24E-4D89B34966FA}"/>
            </c:ext>
          </c:extLst>
        </c:ser>
        <c:ser>
          <c:idx val="1"/>
          <c:order val="1"/>
          <c:tx>
            <c:v>Return on Investment 1, energy prices change</c:v>
          </c:tx>
          <c:spPr>
            <a:ln w="28575" cap="rnd">
              <a:solidFill>
                <a:srgbClr val="FF0000"/>
              </a:solidFill>
              <a:round/>
            </a:ln>
            <a:effectLst/>
          </c:spPr>
          <c:marker>
            <c:symbol val="none"/>
          </c:marker>
          <c:val>
            <c:numRef>
              <c:f>'Solution 1, (hidden)'!$AB$5:$AB$55</c:f>
              <c:numCache>
                <c:formatCode>0%</c:formatCode>
                <c:ptCount val="51"/>
                <c:pt idx="0">
                  <c:v>0</c:v>
                </c:pt>
                <c:pt idx="1">
                  <c:v>4.1508951406649619E-2</c:v>
                </c:pt>
                <c:pt idx="2">
                  <c:v>8.6046291560102295E-2</c:v>
                </c:pt>
                <c:pt idx="3">
                  <c:v>0.13373853452685422</c:v>
                </c:pt>
                <c:pt idx="4">
                  <c:v>0.18471670304347826</c:v>
                </c:pt>
                <c:pt idx="5">
                  <c:v>0.23911647804168798</c:v>
                </c:pt>
                <c:pt idx="6">
                  <c:v>0.29707835294445273</c:v>
                </c:pt>
                <c:pt idx="7">
                  <c:v>0.3587477928820012</c:v>
                </c:pt>
                <c:pt idx="8">
                  <c:v>0.42427539898113115</c:v>
                </c:pt>
                <c:pt idx="9">
                  <c:v>0.49381707788595885</c:v>
                </c:pt>
                <c:pt idx="10">
                  <c:v>0.56753421667310988</c:v>
                </c:pt>
                <c:pt idx="11">
                  <c:v>0.64559386332935742</c:v>
                </c:pt>
                <c:pt idx="12">
                  <c:v>0.72816891296488429</c:v>
                </c:pt>
                <c:pt idx="13">
                  <c:v>0.8154382999406603</c:v>
                </c:pt>
                <c:pt idx="14">
                  <c:v>0.90758719609391691</c:v>
                </c:pt>
                <c:pt idx="15">
                  <c:v>1.0048072152513423</c:v>
                </c:pt>
                <c:pt idx="16">
                  <c:v>1.1072004799204265</c:v>
                </c:pt>
                <c:pt idx="17">
                  <c:v>1.2130184837060538</c:v>
                </c:pt>
                <c:pt idx="18">
                  <c:v>1.3223639687817206</c:v>
                </c:pt>
                <c:pt idx="19">
                  <c:v>1.4353427595861279</c:v>
                </c:pt>
                <c:pt idx="20">
                  <c:v>1.5520638552911381</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numCache>
            </c:numRef>
          </c:val>
          <c:smooth val="0"/>
          <c:extLst>
            <c:ext xmlns:c15="http://schemas.microsoft.com/office/drawing/2012/chart" uri="{02D57815-91ED-43cb-92C2-25804820EDAC}">
              <c15:filteredCategoryTitle>
                <c15:cat>
                  <c:multiLvlStrRef>
                    <c:extLst>
                      <c:ext uri="{02D57815-91ED-43cb-92C2-25804820EDAC}">
                        <c15:formulaRef>
                          <c15:sqref>'5. Return on investment'!$J$4:$J$54</c15:sqref>
                        </c15:formulaRef>
                      </c:ext>
                    </c:extLst>
                  </c:multiLvlStrRef>
                </c15:cat>
              </c15:filteredCategoryTitle>
            </c:ext>
            <c:ext xmlns:c16="http://schemas.microsoft.com/office/drawing/2014/chart" uri="{C3380CC4-5D6E-409C-BE32-E72D297353CC}">
              <c16:uniqueId val="{00000001-2BF4-40C9-A24E-4D89B34966FA}"/>
            </c:ext>
          </c:extLst>
        </c:ser>
        <c:dLbls>
          <c:showLegendKey val="0"/>
          <c:showVal val="0"/>
          <c:showCatName val="0"/>
          <c:showSerName val="0"/>
          <c:showPercent val="0"/>
          <c:showBubbleSize val="0"/>
        </c:dLbls>
        <c:smooth val="0"/>
        <c:axId val="458877840"/>
        <c:axId val="458880192"/>
      </c:lineChart>
      <c:catAx>
        <c:axId val="45887784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7181265796186158"/>
              <c:y val="0.8300111965773064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80192"/>
        <c:crosses val="autoZero"/>
        <c:auto val="1"/>
        <c:lblAlgn val="ctr"/>
        <c:lblOffset val="100"/>
        <c:noMultiLvlLbl val="0"/>
      </c:catAx>
      <c:valAx>
        <c:axId val="458880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4.4477390659747963E-2"/>
              <c:y val="1.3793819125210528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7840"/>
        <c:crosses val="autoZero"/>
        <c:crossBetween val="between"/>
      </c:valAx>
      <c:spPr>
        <a:noFill/>
        <a:ln>
          <a:noFill/>
        </a:ln>
        <a:effectLst/>
      </c:spPr>
    </c:plotArea>
    <c:legend>
      <c:legendPos val="b"/>
      <c:layout>
        <c:manualLayout>
          <c:xMode val="edge"/>
          <c:yMode val="edge"/>
          <c:x val="0.20954528902234454"/>
          <c:y val="0.81825934185972415"/>
          <c:w val="0.58267095688095849"/>
          <c:h val="0.149134040325884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 2</a:t>
            </a:r>
          </a:p>
        </c:rich>
      </c:tx>
      <c:layout>
        <c:manualLayout>
          <c:xMode val="edge"/>
          <c:yMode val="edge"/>
          <c:x val="0.31612903225806449"/>
          <c:y val="2.531646290568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20036332356851"/>
          <c:y val="0.14849902534113063"/>
          <c:w val="0.79968575900594296"/>
          <c:h val="0.58761005875934957"/>
        </c:manualLayout>
      </c:layout>
      <c:lineChart>
        <c:grouping val="standard"/>
        <c:varyColors val="0"/>
        <c:ser>
          <c:idx val="0"/>
          <c:order val="0"/>
          <c:tx>
            <c:strRef>
              <c:f>'4. Cash flow '!$G$9</c:f>
              <c:strCache>
                <c:ptCount val="1"/>
                <c:pt idx="0">
                  <c:v>Cashflow_2</c:v>
                </c:pt>
              </c:strCache>
            </c:strRef>
          </c:tx>
          <c:spPr>
            <a:ln w="28575" cap="rnd">
              <a:solidFill>
                <a:srgbClr val="92D050"/>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c:f>
              <c:numCache>
                <c:formatCode>#\ ##0_ ;\-#\ ##0\ </c:formatCode>
                <c:ptCount val="21"/>
                <c:pt idx="0">
                  <c:v>-212500</c:v>
                </c:pt>
                <c:pt idx="1">
                  <c:v>-194650</c:v>
                </c:pt>
                <c:pt idx="2">
                  <c:v>-176443</c:v>
                </c:pt>
                <c:pt idx="3">
                  <c:v>-157871.85999999999</c:v>
                </c:pt>
                <c:pt idx="4">
                  <c:v>-138929.29719999997</c:v>
                </c:pt>
                <c:pt idx="5">
                  <c:v>-119607.88314399998</c:v>
                </c:pt>
                <c:pt idx="6">
                  <c:v>-99900.040806879973</c:v>
                </c:pt>
                <c:pt idx="7">
                  <c:v>-79798.041623017576</c:v>
                </c:pt>
                <c:pt idx="8">
                  <c:v>-59294.00245547793</c:v>
                </c:pt>
                <c:pt idx="9">
                  <c:v>-38379.882504587491</c:v>
                </c:pt>
                <c:pt idx="10">
                  <c:v>-17047.480154679241</c:v>
                </c:pt>
                <c:pt idx="11">
                  <c:v>4711.5702422271743</c:v>
                </c:pt>
                <c:pt idx="12">
                  <c:v>26811.570242227175</c:v>
                </c:pt>
                <c:pt idx="13">
                  <c:v>48911.570242227172</c:v>
                </c:pt>
                <c:pt idx="14">
                  <c:v>71011.570242227172</c:v>
                </c:pt>
                <c:pt idx="15">
                  <c:v>93111.570242227172</c:v>
                </c:pt>
                <c:pt idx="16">
                  <c:v>115211.57024222717</c:v>
                </c:pt>
                <c:pt idx="17">
                  <c:v>137311.57024222717</c:v>
                </c:pt>
                <c:pt idx="18">
                  <c:v>159411.57024222717</c:v>
                </c:pt>
                <c:pt idx="19">
                  <c:v>181511.57024222717</c:v>
                </c:pt>
                <c:pt idx="20">
                  <c:v>203611.57024222717</c:v>
                </c:pt>
              </c:numCache>
            </c:numRef>
          </c:val>
          <c:smooth val="0"/>
          <c:extLst>
            <c:ext xmlns:c16="http://schemas.microsoft.com/office/drawing/2014/chart" uri="{C3380CC4-5D6E-409C-BE32-E72D297353CC}">
              <c16:uniqueId val="{00000000-9791-45B5-A7C2-61D56138BCFB}"/>
            </c:ext>
          </c:extLst>
        </c:ser>
        <c:ser>
          <c:idx val="1"/>
          <c:order val="1"/>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c:f>
              <c:numCache>
                <c:formatCode>#\ ##0_ ;\-#\ ##0\ </c:formatCode>
                <c:ptCount val="21"/>
                <c:pt idx="0">
                  <c:v>-212500</c:v>
                </c:pt>
                <c:pt idx="1">
                  <c:v>-194650</c:v>
                </c:pt>
                <c:pt idx="2">
                  <c:v>-175705</c:v>
                </c:pt>
                <c:pt idx="3">
                  <c:v>-155620.96</c:v>
                </c:pt>
                <c:pt idx="4">
                  <c:v>-134352.29499999998</c:v>
                </c:pt>
                <c:pt idx="5">
                  <c:v>-111851.82417399998</c:v>
                </c:pt>
                <c:pt idx="6">
                  <c:v>-88070.718429699962</c:v>
                </c:pt>
                <c:pt idx="7">
                  <c:v>-62958.446303680546</c:v>
                </c:pt>
                <c:pt idx="8">
                  <c:v>-36462.718140302342</c:v>
                </c:pt>
                <c:pt idx="9">
                  <c:v>-8529.4285009730174</c:v>
                </c:pt>
                <c:pt idx="10">
                  <c:v>20897.403251206953</c:v>
                </c:pt>
                <c:pt idx="11">
                  <c:v>51457.746183072355</c:v>
                </c:pt>
                <c:pt idx="12">
                  <c:v>83009.899402893716</c:v>
                </c:pt>
                <c:pt idx="13">
                  <c:v>115583.61721930972</c:v>
                </c:pt>
                <c:pt idx="14">
                  <c:v>149209.54657021823</c:v>
                </c:pt>
                <c:pt idx="15">
                  <c:v>183919.25380165398</c:v>
                </c:pt>
                <c:pt idx="16">
                  <c:v>219745.25225003279</c:v>
                </c:pt>
                <c:pt idx="17">
                  <c:v>256721.03065186297</c:v>
                </c:pt>
                <c:pt idx="18">
                  <c:v>294881.08240574808</c:v>
                </c:pt>
                <c:pt idx="19">
                  <c:v>334260.93571224972</c:v>
                </c:pt>
                <c:pt idx="20">
                  <c:v>374897.18461794639</c:v>
                </c:pt>
              </c:numCache>
            </c:numRef>
          </c:val>
          <c:smooth val="0"/>
          <c:extLst>
            <c:ext xmlns:c16="http://schemas.microsoft.com/office/drawing/2014/chart" uri="{C3380CC4-5D6E-409C-BE32-E72D297353CC}">
              <c16:uniqueId val="{00000001-9791-45B5-A7C2-61D56138BCFB}"/>
            </c:ext>
          </c:extLst>
        </c:ser>
        <c:ser>
          <c:idx val="2"/>
          <c:order val="2"/>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[0]!Cashflow_2ep_change2</c:f>
              <c:numCache>
                <c:formatCode>#\ ##0_ ;\-#\ ##0\ </c:formatCode>
                <c:ptCount val="21"/>
                <c:pt idx="0">
                  <c:v>-212500</c:v>
                </c:pt>
                <c:pt idx="1">
                  <c:v>-194650</c:v>
                </c:pt>
                <c:pt idx="2">
                  <c:v>-174967</c:v>
                </c:pt>
                <c:pt idx="3">
                  <c:v>-153325.78</c:v>
                </c:pt>
                <c:pt idx="4">
                  <c:v>-129593.302</c:v>
                </c:pt>
                <c:pt idx="5">
                  <c:v>-103628.234824</c:v>
                </c:pt>
                <c:pt idx="6">
                  <c:v>-75280.450311519991</c:v>
                </c:pt>
                <c:pt idx="7">
                  <c:v>-44390.489156252777</c:v>
                </c:pt>
                <c:pt idx="8">
                  <c:v>-10788.99456819037</c:v>
                </c:pt>
                <c:pt idx="9">
                  <c:v>25703.888173904539</c:v>
                </c:pt>
                <c:pt idx="10">
                  <c:v>64765.070565370785</c:v>
                </c:pt>
                <c:pt idx="11">
                  <c:v>106319.923900325</c:v>
                </c:pt>
                <c:pt idx="12">
                  <c:v>150518.06843537648</c:v>
                </c:pt>
                <c:pt idx="13">
                  <c:v>197518.10164253105</c:v>
                </c:pt>
                <c:pt idx="14">
                  <c:v>247488.13684211488</c:v>
                </c:pt>
                <c:pt idx="15">
                  <c:v>300606.37415367371</c:v>
                </c:pt>
                <c:pt idx="16">
                  <c:v>357061.7057039261</c:v>
                </c:pt>
                <c:pt idx="17">
                  <c:v>417054.35714719363</c:v>
                </c:pt>
                <c:pt idx="18">
                  <c:v>480796.56767705723</c:v>
                </c:pt>
                <c:pt idx="19">
                  <c:v>548513.31083871261</c:v>
                </c:pt>
                <c:pt idx="20">
                  <c:v>620443.05859006732</c:v>
                </c:pt>
              </c:numCache>
            </c:numRef>
          </c:val>
          <c:smooth val="0"/>
          <c:extLst>
            <c:ext xmlns:c16="http://schemas.microsoft.com/office/drawing/2014/chart" uri="{C3380CC4-5D6E-409C-BE32-E72D297353CC}">
              <c16:uniqueId val="{00000002-9791-45B5-A7C2-61D56138BCFB}"/>
            </c:ext>
          </c:extLst>
        </c:ser>
        <c:dLbls>
          <c:showLegendKey val="0"/>
          <c:showVal val="0"/>
          <c:showCatName val="0"/>
          <c:showSerName val="0"/>
          <c:showPercent val="0"/>
          <c:showBubbleSize val="0"/>
        </c:dLbls>
        <c:smooth val="0"/>
        <c:axId val="456034208"/>
        <c:axId val="145812768"/>
      </c:lineChart>
      <c:catAx>
        <c:axId val="4560342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581744795269571"/>
              <c:y val="0.7598922503108165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145812768"/>
        <c:crosses val="autoZero"/>
        <c:auto val="1"/>
        <c:lblAlgn val="ctr"/>
        <c:lblOffset val="100"/>
        <c:noMultiLvlLbl val="1"/>
      </c:catAx>
      <c:valAx>
        <c:axId val="14581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
              <c:y val="6.518487820601373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034208"/>
        <c:crosses val="autoZero"/>
        <c:crossBetween val="between"/>
      </c:valAx>
      <c:spPr>
        <a:noFill/>
        <a:ln>
          <a:noFill/>
        </a:ln>
        <a:effectLst/>
      </c:spPr>
    </c:plotArea>
    <c:legend>
      <c:legendPos val="b"/>
      <c:layout>
        <c:manualLayout>
          <c:xMode val="edge"/>
          <c:yMode val="edge"/>
          <c:x val="6.4372213776965493E-3"/>
          <c:y val="0.76670040618879232"/>
          <c:w val="0.9793775940697218"/>
          <c:h val="0.213806475359194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Return on investment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182538543008832E-2"/>
          <c:y val="0.12682824025289779"/>
          <c:w val="0.86605007565608361"/>
          <c:h val="0.6141400396604797"/>
        </c:manualLayout>
      </c:layout>
      <c:lineChart>
        <c:grouping val="standard"/>
        <c:varyColors val="0"/>
        <c:ser>
          <c:idx val="0"/>
          <c:order val="0"/>
          <c:tx>
            <c:strRef>
              <c:f>'5. Return on investment'!$L$1</c:f>
              <c:strCache>
                <c:ptCount val="1"/>
                <c:pt idx="0">
                  <c:v>Return_on_investment_2</c:v>
                </c:pt>
              </c:strCache>
            </c:strRef>
          </c:tx>
          <c:spPr>
            <a:ln w="28575" cap="rnd">
              <a:solidFill>
                <a:schemeClr val="accent1"/>
              </a:solidFill>
              <a:round/>
            </a:ln>
            <a:effectLst/>
          </c:spPr>
          <c:marker>
            <c:symbol val="none"/>
          </c:marker>
          <c:cat>
            <c:numRef>
              <c:f>[0]!Year_2Return_on_investment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[0]!Return_on_investment_2</c:f>
              <c:numCache>
                <c:formatCode>0%</c:formatCode>
                <c:ptCount val="21"/>
                <c:pt idx="0">
                  <c:v>0</c:v>
                </c:pt>
                <c:pt idx="1">
                  <c:v>8.4000000000000005E-2</c:v>
                </c:pt>
                <c:pt idx="2">
                  <c:v>0.16968</c:v>
                </c:pt>
                <c:pt idx="3">
                  <c:v>0.25707360000000001</c:v>
                </c:pt>
                <c:pt idx="4">
                  <c:v>0.34621507200000001</c:v>
                </c:pt>
                <c:pt idx="5">
                  <c:v>0.43713937343999998</c:v>
                </c:pt>
                <c:pt idx="6">
                  <c:v>0.52988216090880003</c:v>
                </c:pt>
                <c:pt idx="7">
                  <c:v>0.62447980412697612</c:v>
                </c:pt>
                <c:pt idx="8">
                  <c:v>0.72096940020951561</c:v>
                </c:pt>
                <c:pt idx="9">
                  <c:v>0.81938878821370598</c:v>
                </c:pt>
                <c:pt idx="10">
                  <c:v>0.91977656397798013</c:v>
                </c:pt>
                <c:pt idx="11">
                  <c:v>1.0221720952575397</c:v>
                </c:pt>
                <c:pt idx="12">
                  <c:v>1.1261720952575398</c:v>
                </c:pt>
                <c:pt idx="13">
                  <c:v>1.2301720952575397</c:v>
                </c:pt>
                <c:pt idx="14">
                  <c:v>1.3341720952575395</c:v>
                </c:pt>
                <c:pt idx="15">
                  <c:v>1.4381720952575396</c:v>
                </c:pt>
                <c:pt idx="16">
                  <c:v>1.5421720952575397</c:v>
                </c:pt>
                <c:pt idx="17">
                  <c:v>1.6461720952575396</c:v>
                </c:pt>
                <c:pt idx="18">
                  <c:v>1.7501720952575397</c:v>
                </c:pt>
                <c:pt idx="19">
                  <c:v>1.8541720952575396</c:v>
                </c:pt>
                <c:pt idx="20">
                  <c:v>1.9581720952575397</c:v>
                </c:pt>
              </c:numCache>
            </c:numRef>
          </c:val>
          <c:smooth val="0"/>
          <c:extLst>
            <c:ext xmlns:c16="http://schemas.microsoft.com/office/drawing/2014/chart" uri="{C3380CC4-5D6E-409C-BE32-E72D297353CC}">
              <c16:uniqueId val="{00000000-59AB-4A78-B120-3163DFB92F96}"/>
            </c:ext>
          </c:extLst>
        </c:ser>
        <c:ser>
          <c:idx val="1"/>
          <c:order val="1"/>
          <c:tx>
            <c:strRef>
              <c:f>'5. Return on investment'!$N$1</c:f>
              <c:strCache>
                <c:ptCount val="1"/>
                <c:pt idx="0">
                  <c:v>Return_on_investment_2ep_change</c:v>
                </c:pt>
              </c:strCache>
            </c:strRef>
          </c:tx>
          <c:spPr>
            <a:ln w="28575" cap="rnd">
              <a:solidFill>
                <a:schemeClr val="accent2"/>
              </a:solidFill>
              <a:round/>
            </a:ln>
            <a:effectLst/>
          </c:spPr>
          <c:marker>
            <c:symbol val="none"/>
          </c:marker>
          <c:cat>
            <c:numRef>
              <c:f>[0]!Year_2Return_on_investment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[0]!Return_on_investment_2ep_change</c:f>
              <c:numCache>
                <c:formatCode>0%</c:formatCode>
                <c:ptCount val="21"/>
                <c:pt idx="0">
                  <c:v>0</c:v>
                </c:pt>
                <c:pt idx="1">
                  <c:v>8.4000000000000005E-2</c:v>
                </c:pt>
                <c:pt idx="2">
                  <c:v>0.17315294117647059</c:v>
                </c:pt>
                <c:pt idx="3">
                  <c:v>0.26766607058823527</c:v>
                </c:pt>
                <c:pt idx="4">
                  <c:v>0.36775390588235296</c:v>
                </c:pt>
                <c:pt idx="5">
                  <c:v>0.47363847447529422</c:v>
                </c:pt>
                <c:pt idx="6">
                  <c:v>0.58554956033082373</c:v>
                </c:pt>
                <c:pt idx="7">
                  <c:v>0.7037249585709151</c:v>
                </c:pt>
                <c:pt idx="8">
                  <c:v>0.82841073816328314</c:v>
                </c:pt>
                <c:pt idx="9">
                  <c:v>0.95986151293659761</c:v>
                </c:pt>
                <c:pt idx="10">
                  <c:v>1.0983407211821503</c:v>
                </c:pt>
                <c:pt idx="11">
                  <c:v>1.2421540996850462</c:v>
                </c:pt>
                <c:pt idx="12">
                  <c:v>1.3906348207194998</c:v>
                </c:pt>
                <c:pt idx="13">
                  <c:v>1.5439229045614578</c:v>
                </c:pt>
                <c:pt idx="14">
                  <c:v>1.7021625720951448</c:v>
                </c:pt>
                <c:pt idx="15">
                  <c:v>1.8655023708313132</c:v>
                </c:pt>
                <c:pt idx="16">
                  <c:v>2.0340953047060371</c:v>
                </c:pt>
                <c:pt idx="17">
                  <c:v>2.208098967773473</c:v>
                </c:pt>
                <c:pt idx="18">
                  <c:v>2.3876756819094029</c:v>
                </c:pt>
                <c:pt idx="19">
                  <c:v>2.5729926386458812</c:v>
                </c:pt>
                <c:pt idx="20">
                  <c:v>2.7642220452609241</c:v>
                </c:pt>
              </c:numCache>
            </c:numRef>
          </c:val>
          <c:smooth val="0"/>
          <c:extLst>
            <c:ext xmlns:c16="http://schemas.microsoft.com/office/drawing/2014/chart" uri="{C3380CC4-5D6E-409C-BE32-E72D297353CC}">
              <c16:uniqueId val="{00000001-59AB-4A78-B120-3163DFB92F96}"/>
            </c:ext>
          </c:extLst>
        </c:ser>
        <c:dLbls>
          <c:showLegendKey val="0"/>
          <c:showVal val="0"/>
          <c:showCatName val="0"/>
          <c:showSerName val="0"/>
          <c:showPercent val="0"/>
          <c:showBubbleSize val="0"/>
        </c:dLbls>
        <c:smooth val="0"/>
        <c:axId val="458879408"/>
        <c:axId val="458880584"/>
      </c:lineChart>
      <c:dateAx>
        <c:axId val="4588794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9332973467735299"/>
              <c:y val="0.8084076898185408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en-US"/>
          </a:p>
        </c:txPr>
        <c:crossAx val="458880584"/>
        <c:crosses val="autoZero"/>
        <c:auto val="1"/>
        <c:lblOffset val="100"/>
        <c:baseTimeUnit val="days"/>
        <c:majorUnit val="1"/>
        <c:majorTimeUnit val="days"/>
        <c:minorUnit val="1"/>
        <c:minorTimeUnit val="years"/>
      </c:dateAx>
      <c:valAx>
        <c:axId val="458880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5901756691739912E-2"/>
              <c:y val="3.1052994034333668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9408"/>
        <c:crosses val="autoZero"/>
        <c:crossBetween val="between"/>
      </c:valAx>
      <c:spPr>
        <a:noFill/>
        <a:ln>
          <a:noFill/>
        </a:ln>
        <a:effectLst/>
      </c:spPr>
    </c:plotArea>
    <c:legend>
      <c:legendPos val="b"/>
      <c:layout>
        <c:manualLayout>
          <c:xMode val="edge"/>
          <c:yMode val="edge"/>
          <c:x val="0.16925355269488482"/>
          <c:y val="0.80927192320138064"/>
          <c:w val="0.57207388197190701"/>
          <c:h val="0.19072807679861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Return on investment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39370078740158"/>
          <c:y val="0.1161574074074074"/>
          <c:w val="0.87349687058348491"/>
          <c:h val="0.59030839895013121"/>
        </c:manualLayout>
      </c:layout>
      <c:lineChart>
        <c:grouping val="standard"/>
        <c:varyColors val="0"/>
        <c:ser>
          <c:idx val="0"/>
          <c:order val="0"/>
          <c:tx>
            <c:strRef>
              <c:f>'5. Return on investment'!$K$1</c:f>
              <c:strCache>
                <c:ptCount val="1"/>
                <c:pt idx="0">
                  <c:v>Return_on_investment_1</c:v>
                </c:pt>
              </c:strCache>
            </c:strRef>
          </c:tx>
          <c:spPr>
            <a:ln w="28575" cap="rnd">
              <a:solidFill>
                <a:schemeClr val="accent1"/>
              </a:solidFill>
              <a:round/>
            </a:ln>
            <a:effectLst/>
          </c:spPr>
          <c:marker>
            <c:symbol val="none"/>
          </c:marker>
          <c:cat>
            <c:numRef>
              <c:f>[0]!Year_1Return_on_investment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[0]!Return_on_investment_1</c:f>
              <c:numCache>
                <c:formatCode>0%</c:formatCode>
                <c:ptCount val="21"/>
                <c:pt idx="0">
                  <c:v>0</c:v>
                </c:pt>
                <c:pt idx="1">
                  <c:v>4.1508951406649619E-2</c:v>
                </c:pt>
                <c:pt idx="2">
                  <c:v>8.384808184143222E-2</c:v>
                </c:pt>
                <c:pt idx="3">
                  <c:v>0.12703399488491049</c:v>
                </c:pt>
                <c:pt idx="4">
                  <c:v>0.17108362618925832</c:v>
                </c:pt>
                <c:pt idx="5">
                  <c:v>0.21601425011969308</c:v>
                </c:pt>
                <c:pt idx="6">
                  <c:v>0.26184348652873657</c:v>
                </c:pt>
                <c:pt idx="7">
                  <c:v>0.30858930766596093</c:v>
                </c:pt>
                <c:pt idx="8">
                  <c:v>0.35627004522592975</c:v>
                </c:pt>
                <c:pt idx="9">
                  <c:v>0.40490439753709795</c:v>
                </c:pt>
                <c:pt idx="10">
                  <c:v>0.45451143689448947</c:v>
                </c:pt>
                <c:pt idx="11">
                  <c:v>0.50511061703902893</c:v>
                </c:pt>
                <c:pt idx="12">
                  <c:v>0.55672178078645917</c:v>
                </c:pt>
                <c:pt idx="13">
                  <c:v>0.60936516780883798</c:v>
                </c:pt>
                <c:pt idx="14">
                  <c:v>0.66306142257166445</c:v>
                </c:pt>
                <c:pt idx="15">
                  <c:v>0.71783160242974731</c:v>
                </c:pt>
                <c:pt idx="16">
                  <c:v>0.77369718588499181</c:v>
                </c:pt>
                <c:pt idx="17">
                  <c:v>0.83068008100934132</c:v>
                </c:pt>
                <c:pt idx="18">
                  <c:v>0.88880263403617776</c:v>
                </c:pt>
                <c:pt idx="19">
                  <c:v>0.94808763812355101</c:v>
                </c:pt>
                <c:pt idx="20">
                  <c:v>1.0085583422926716</c:v>
                </c:pt>
              </c:numCache>
            </c:numRef>
          </c:val>
          <c:smooth val="0"/>
          <c:extLst>
            <c:ext xmlns:c16="http://schemas.microsoft.com/office/drawing/2014/chart" uri="{C3380CC4-5D6E-409C-BE32-E72D297353CC}">
              <c16:uniqueId val="{00000000-A97A-42C8-B104-C5D371CFD85B}"/>
            </c:ext>
          </c:extLst>
        </c:ser>
        <c:ser>
          <c:idx val="1"/>
          <c:order val="1"/>
          <c:tx>
            <c:strRef>
              <c:f>'5. Return on investment'!$M$1</c:f>
              <c:strCache>
                <c:ptCount val="1"/>
                <c:pt idx="0">
                  <c:v>Return_on_investment_1ep_change</c:v>
                </c:pt>
              </c:strCache>
            </c:strRef>
          </c:tx>
          <c:spPr>
            <a:ln w="28575" cap="rnd">
              <a:solidFill>
                <a:schemeClr val="accent2"/>
              </a:solidFill>
              <a:round/>
            </a:ln>
            <a:effectLst/>
          </c:spPr>
          <c:marker>
            <c:symbol val="none"/>
          </c:marker>
          <c:cat>
            <c:numRef>
              <c:f>[0]!Year_1Return_on_investment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[0]!Return_on_investment_1ep_change</c:f>
              <c:numCache>
                <c:formatCode>0%</c:formatCode>
                <c:ptCount val="21"/>
                <c:pt idx="0">
                  <c:v>0</c:v>
                </c:pt>
                <c:pt idx="1">
                  <c:v>4.1508951406649619E-2</c:v>
                </c:pt>
                <c:pt idx="2">
                  <c:v>8.6046291560102295E-2</c:v>
                </c:pt>
                <c:pt idx="3">
                  <c:v>0.13373853452685422</c:v>
                </c:pt>
                <c:pt idx="4">
                  <c:v>0.18471670304347826</c:v>
                </c:pt>
                <c:pt idx="5">
                  <c:v>0.23911647804168798</c:v>
                </c:pt>
                <c:pt idx="6">
                  <c:v>0.29707835294445273</c:v>
                </c:pt>
                <c:pt idx="7">
                  <c:v>0.3587477928820012</c:v>
                </c:pt>
                <c:pt idx="8">
                  <c:v>0.42427539898113115</c:v>
                </c:pt>
                <c:pt idx="9">
                  <c:v>0.49381707788595885</c:v>
                </c:pt>
                <c:pt idx="10">
                  <c:v>0.56753421667310988</c:v>
                </c:pt>
                <c:pt idx="11">
                  <c:v>0.64559386332935742</c:v>
                </c:pt>
                <c:pt idx="12">
                  <c:v>0.72816891296488429</c:v>
                </c:pt>
                <c:pt idx="13">
                  <c:v>0.8154382999406603</c:v>
                </c:pt>
                <c:pt idx="14">
                  <c:v>0.90758719609391691</c:v>
                </c:pt>
                <c:pt idx="15">
                  <c:v>1.0048072152513423</c:v>
                </c:pt>
                <c:pt idx="16">
                  <c:v>1.1072004799204265</c:v>
                </c:pt>
                <c:pt idx="17">
                  <c:v>1.2130184837060538</c:v>
                </c:pt>
                <c:pt idx="18">
                  <c:v>1.3223639687817206</c:v>
                </c:pt>
                <c:pt idx="19">
                  <c:v>1.4353427595861279</c:v>
                </c:pt>
                <c:pt idx="20">
                  <c:v>1.5520638552911381</c:v>
                </c:pt>
              </c:numCache>
            </c:numRef>
          </c:val>
          <c:smooth val="0"/>
          <c:extLst>
            <c:ext xmlns:c16="http://schemas.microsoft.com/office/drawing/2014/chart" uri="{C3380CC4-5D6E-409C-BE32-E72D297353CC}">
              <c16:uniqueId val="{00000001-A97A-42C8-B104-C5D371CFD85B}"/>
            </c:ext>
          </c:extLst>
        </c:ser>
        <c:dLbls>
          <c:showLegendKey val="0"/>
          <c:showVal val="0"/>
          <c:showCatName val="0"/>
          <c:showSerName val="0"/>
          <c:showPercent val="0"/>
          <c:showBubbleSize val="0"/>
        </c:dLbls>
        <c:smooth val="0"/>
        <c:axId val="458876664"/>
        <c:axId val="458874312"/>
      </c:lineChart>
      <c:catAx>
        <c:axId val="458876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8765441017120561"/>
              <c:y val="0.771582057860744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458874312"/>
        <c:crosses val="autoZero"/>
        <c:auto val="1"/>
        <c:lblAlgn val="ctr"/>
        <c:lblOffset val="100"/>
        <c:tickLblSkip val="1"/>
        <c:noMultiLvlLbl val="1"/>
      </c:catAx>
      <c:valAx>
        <c:axId val="458874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w="15875">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6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Payback period 1</a:t>
            </a:r>
          </a:p>
        </c:rich>
      </c:tx>
      <c:layout>
        <c:manualLayout>
          <c:xMode val="edge"/>
          <c:yMode val="edge"/>
          <c:x val="0.35884011073958222"/>
          <c:y val="2.42690979417046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740157480314962"/>
          <c:y val="0.12169575941561522"/>
          <c:w val="0.76623665192535872"/>
          <c:h val="0.46303587051618539"/>
        </c:manualLayout>
      </c:layout>
      <c:lineChart>
        <c:grouping val="standard"/>
        <c:varyColors val="0"/>
        <c:ser>
          <c:idx val="1"/>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[0]!Payback_1_invest</c:f>
              <c:numCache>
                <c:formatCode>#\ ##0_ ;\-#\ ##0\ </c:formatCode>
                <c:ptCount val="21"/>
                <c:pt idx="0">
                  <c:v>156400</c:v>
                </c:pt>
                <c:pt idx="1">
                  <c:v>156400</c:v>
                </c:pt>
                <c:pt idx="2">
                  <c:v>156400</c:v>
                </c:pt>
                <c:pt idx="3">
                  <c:v>156400</c:v>
                </c:pt>
                <c:pt idx="4">
                  <c:v>156400</c:v>
                </c:pt>
                <c:pt idx="5">
                  <c:v>156400</c:v>
                </c:pt>
                <c:pt idx="6">
                  <c:v>156400</c:v>
                </c:pt>
                <c:pt idx="7">
                  <c:v>156400</c:v>
                </c:pt>
                <c:pt idx="8">
                  <c:v>156400</c:v>
                </c:pt>
                <c:pt idx="9">
                  <c:v>156400</c:v>
                </c:pt>
                <c:pt idx="10">
                  <c:v>156400</c:v>
                </c:pt>
                <c:pt idx="11">
                  <c:v>156400</c:v>
                </c:pt>
                <c:pt idx="12">
                  <c:v>156400</c:v>
                </c:pt>
                <c:pt idx="13">
                  <c:v>156400</c:v>
                </c:pt>
                <c:pt idx="14">
                  <c:v>156400</c:v>
                </c:pt>
                <c:pt idx="15">
                  <c:v>156400</c:v>
                </c:pt>
                <c:pt idx="16">
                  <c:v>156400</c:v>
                </c:pt>
                <c:pt idx="17">
                  <c:v>156400</c:v>
                </c:pt>
                <c:pt idx="18">
                  <c:v>156400</c:v>
                </c:pt>
                <c:pt idx="19">
                  <c:v>156400</c:v>
                </c:pt>
                <c:pt idx="20">
                  <c:v>156400</c:v>
                </c:pt>
              </c:numCache>
            </c:numRef>
          </c:val>
          <c:smooth val="0"/>
          <c:extLst>
            <c:ext xmlns:c16="http://schemas.microsoft.com/office/drawing/2014/chart" uri="{C3380CC4-5D6E-409C-BE32-E72D297353CC}">
              <c16:uniqueId val="{00000000-8E12-4BB9-8D9E-376D1A1C5555}"/>
            </c:ext>
          </c:extLst>
        </c:ser>
        <c:ser>
          <c:idx val="0"/>
          <c:order val="1"/>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c:f>
              <c:numCache>
                <c:formatCode>#\ ##0_ ;\-#\ ##0\ </c:formatCode>
                <c:ptCount val="21"/>
                <c:pt idx="0">
                  <c:v>0</c:v>
                </c:pt>
                <c:pt idx="1">
                  <c:v>11460</c:v>
                </c:pt>
                <c:pt idx="2">
                  <c:v>22920</c:v>
                </c:pt>
                <c:pt idx="3">
                  <c:v>34380</c:v>
                </c:pt>
                <c:pt idx="4">
                  <c:v>45840</c:v>
                </c:pt>
                <c:pt idx="5">
                  <c:v>57300</c:v>
                </c:pt>
                <c:pt idx="6">
                  <c:v>68760</c:v>
                </c:pt>
                <c:pt idx="7">
                  <c:v>80220</c:v>
                </c:pt>
                <c:pt idx="8">
                  <c:v>91680</c:v>
                </c:pt>
                <c:pt idx="9">
                  <c:v>103140</c:v>
                </c:pt>
                <c:pt idx="10">
                  <c:v>114600</c:v>
                </c:pt>
                <c:pt idx="11">
                  <c:v>126060</c:v>
                </c:pt>
                <c:pt idx="12">
                  <c:v>137520</c:v>
                </c:pt>
                <c:pt idx="13">
                  <c:v>148980</c:v>
                </c:pt>
                <c:pt idx="14">
                  <c:v>160440</c:v>
                </c:pt>
                <c:pt idx="15">
                  <c:v>171900</c:v>
                </c:pt>
                <c:pt idx="16">
                  <c:v>183360</c:v>
                </c:pt>
                <c:pt idx="17">
                  <c:v>194820</c:v>
                </c:pt>
                <c:pt idx="18">
                  <c:v>206280</c:v>
                </c:pt>
                <c:pt idx="19">
                  <c:v>217740</c:v>
                </c:pt>
                <c:pt idx="20">
                  <c:v>229200</c:v>
                </c:pt>
              </c:numCache>
            </c:numRef>
          </c:val>
          <c:smooth val="0"/>
          <c:extLst>
            <c:ext xmlns:c16="http://schemas.microsoft.com/office/drawing/2014/chart" uri="{C3380CC4-5D6E-409C-BE32-E72D297353CC}">
              <c16:uniqueId val="{00000001-8E12-4BB9-8D9E-376D1A1C5555}"/>
            </c:ext>
          </c:extLst>
        </c:ser>
        <c:ser>
          <c:idx val="4"/>
          <c:order val="2"/>
          <c:tx>
            <c:strRef>
              <c:f>'6. Pay back time'!$J$9:$J$10</c:f>
              <c:strCache>
                <c:ptCount val="2"/>
                <c:pt idx="0">
                  <c:v>Payback_1 Decrease energy/water costs (€)</c:v>
                </c:pt>
                <c:pt idx="1">
                  <c:v>Option 1. Energy/water prices change</c:v>
                </c:pt>
              </c:strCache>
            </c:strRef>
          </c:tx>
          <c:spPr>
            <a:ln w="28575" cap="rnd">
              <a:solidFill>
                <a:srgbClr val="7030A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c:f>
              <c:numCache>
                <c:formatCode>#\ ##0_ ;\-#\ ##0\ </c:formatCode>
                <c:ptCount val="21"/>
                <c:pt idx="0">
                  <c:v>0</c:v>
                </c:pt>
                <c:pt idx="1">
                  <c:v>11460</c:v>
                </c:pt>
                <c:pt idx="2">
                  <c:v>23263.8</c:v>
                </c:pt>
                <c:pt idx="3">
                  <c:v>35421.714</c:v>
                </c:pt>
                <c:pt idx="4">
                  <c:v>47944.365420000002</c:v>
                </c:pt>
                <c:pt idx="5">
                  <c:v>60842.696382600006</c:v>
                </c:pt>
                <c:pt idx="6">
                  <c:v>74127.977274078003</c:v>
                </c:pt>
                <c:pt idx="7">
                  <c:v>87811.81659230034</c:v>
                </c:pt>
                <c:pt idx="8">
                  <c:v>101906.17109006936</c:v>
                </c:pt>
                <c:pt idx="9">
                  <c:v>116423.35622277144</c:v>
                </c:pt>
                <c:pt idx="10">
                  <c:v>131376.05690945458</c:v>
                </c:pt>
                <c:pt idx="11">
                  <c:v>146777.33861673821</c:v>
                </c:pt>
                <c:pt idx="12">
                  <c:v>162640.65877524036</c:v>
                </c:pt>
                <c:pt idx="13">
                  <c:v>178979.87853849758</c:v>
                </c:pt>
                <c:pt idx="14">
                  <c:v>195809.27489465251</c:v>
                </c:pt>
                <c:pt idx="15">
                  <c:v>213143.5531414921</c:v>
                </c:pt>
                <c:pt idx="16">
                  <c:v>230997.85973573686</c:v>
                </c:pt>
                <c:pt idx="17">
                  <c:v>249387.79552780898</c:v>
                </c:pt>
                <c:pt idx="18">
                  <c:v>268329.42939364328</c:v>
                </c:pt>
                <c:pt idx="19">
                  <c:v>287839.3122754526</c:v>
                </c:pt>
                <c:pt idx="20">
                  <c:v>307934.49164371617</c:v>
                </c:pt>
              </c:numCache>
            </c:numRef>
          </c:val>
          <c:smooth val="0"/>
          <c:extLst>
            <c:ext xmlns:c16="http://schemas.microsoft.com/office/drawing/2014/chart" uri="{C3380CC4-5D6E-409C-BE32-E72D297353CC}">
              <c16:uniqueId val="{00000002-8E12-4BB9-8D9E-376D1A1C5555}"/>
            </c:ext>
          </c:extLst>
        </c:ser>
        <c:ser>
          <c:idx val="2"/>
          <c:order val="3"/>
          <c:tx>
            <c:strRef>
              <c:f>'6. Pay back time'!$L$9:$L$10</c:f>
              <c:strCache>
                <c:ptCount val="2"/>
                <c:pt idx="0">
                  <c:v>Payback_1 Decrease energy/water costs (€)</c:v>
                </c:pt>
                <c:pt idx="1">
                  <c:v>Option 2. Energy/water prices change</c:v>
                </c:pt>
              </c:strCache>
            </c:strRef>
          </c:tx>
          <c:spPr>
            <a:ln w="28575" cap="rnd">
              <a:solidFill>
                <a:schemeClr val="tx1">
                  <a:lumMod val="50000"/>
                  <a:lumOff val="50000"/>
                </a:schemeClr>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[0]!Payback_1ep_change2</c:f>
              <c:numCache>
                <c:formatCode>#\ ##0_ ;\-#\ ##0\ </c:formatCode>
                <c:ptCount val="21"/>
                <c:pt idx="0">
                  <c:v>0</c:v>
                </c:pt>
                <c:pt idx="1">
                  <c:v>11460</c:v>
                </c:pt>
                <c:pt idx="2">
                  <c:v>23607.599999999999</c:v>
                </c:pt>
                <c:pt idx="3">
                  <c:v>36484.055999999997</c:v>
                </c:pt>
                <c:pt idx="4">
                  <c:v>50133.09936</c:v>
                </c:pt>
                <c:pt idx="5">
                  <c:v>64601.085321600003</c:v>
                </c:pt>
                <c:pt idx="6">
                  <c:v>79937.150440896003</c:v>
                </c:pt>
                <c:pt idx="7">
                  <c:v>96193.379467349761</c:v>
                </c:pt>
                <c:pt idx="8">
                  <c:v>113424.98223539075</c:v>
                </c:pt>
                <c:pt idx="9">
                  <c:v>131690.48116951418</c:v>
                </c:pt>
                <c:pt idx="10">
                  <c:v>151051.91003968503</c:v>
                </c:pt>
                <c:pt idx="11">
                  <c:v>171575.02464206613</c:v>
                </c:pt>
                <c:pt idx="12">
                  <c:v>193329.5261205901</c:v>
                </c:pt>
                <c:pt idx="13">
                  <c:v>216389.29768782551</c:v>
                </c:pt>
                <c:pt idx="14">
                  <c:v>240832.65554909504</c:v>
                </c:pt>
                <c:pt idx="15">
                  <c:v>266742.61488204077</c:v>
                </c:pt>
                <c:pt idx="16">
                  <c:v>294207.17177496321</c:v>
                </c:pt>
                <c:pt idx="17">
                  <c:v>323319.60208146099</c:v>
                </c:pt>
                <c:pt idx="18">
                  <c:v>354178.77820634865</c:v>
                </c:pt>
                <c:pt idx="19">
                  <c:v>386889.50489872956</c:v>
                </c:pt>
                <c:pt idx="20">
                  <c:v>421562.87519265333</c:v>
                </c:pt>
              </c:numCache>
            </c:numRef>
          </c:val>
          <c:smooth val="0"/>
          <c:extLst>
            <c:ext xmlns:c16="http://schemas.microsoft.com/office/drawing/2014/chart" uri="{C3380CC4-5D6E-409C-BE32-E72D297353CC}">
              <c16:uniqueId val="{00000003-8E12-4BB9-8D9E-376D1A1C5555}"/>
            </c:ext>
          </c:extLst>
        </c:ser>
        <c:dLbls>
          <c:showLegendKey val="0"/>
          <c:showVal val="0"/>
          <c:showCatName val="0"/>
          <c:showSerName val="0"/>
          <c:showPercent val="0"/>
          <c:showBubbleSize val="0"/>
        </c:dLbls>
        <c:smooth val="0"/>
        <c:axId val="458877448"/>
        <c:axId val="458874704"/>
      </c:lineChart>
      <c:catAx>
        <c:axId val="45887744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5.2962763216241805E-2"/>
              <c:y val="0.6035666375036453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4704"/>
        <c:crosses val="autoZero"/>
        <c:auto val="1"/>
        <c:lblAlgn val="ctr"/>
        <c:lblOffset val="100"/>
        <c:noMultiLvlLbl val="1"/>
      </c:catAx>
      <c:valAx>
        <c:axId val="458874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7838660578386603E-2"/>
              <c:y val="8.4310804551656609E-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877448"/>
        <c:crosses val="autoZero"/>
        <c:crossBetween val="midCat"/>
      </c:valAx>
      <c:spPr>
        <a:noFill/>
        <a:ln>
          <a:noFill/>
        </a:ln>
        <a:effectLst/>
      </c:spPr>
    </c:plotArea>
    <c:legend>
      <c:legendPos val="b"/>
      <c:layout>
        <c:manualLayout>
          <c:xMode val="edge"/>
          <c:yMode val="edge"/>
          <c:x val="2.8451922961684689E-3"/>
          <c:y val="0.69189476315460574"/>
          <c:w val="0.99287671232876717"/>
          <c:h val="0.291389201349831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Payback period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567790074076735"/>
          <c:y val="0.12655687316193906"/>
          <c:w val="0.7918012184695592"/>
          <c:h val="0.48621757148777445"/>
        </c:manualLayout>
      </c:layout>
      <c:lineChart>
        <c:grouping val="standard"/>
        <c:varyColors val="0"/>
        <c:ser>
          <c:idx val="0"/>
          <c:order val="0"/>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[0]!Payback_2_invest</c:f>
              <c:numCache>
                <c:formatCode>#\ ##0_ ;\-#\ ##0\ </c:formatCode>
                <c:ptCount val="21"/>
                <c:pt idx="0">
                  <c:v>212500</c:v>
                </c:pt>
                <c:pt idx="1">
                  <c:v>212500</c:v>
                </c:pt>
                <c:pt idx="2">
                  <c:v>212500</c:v>
                </c:pt>
                <c:pt idx="3">
                  <c:v>212500</c:v>
                </c:pt>
                <c:pt idx="4">
                  <c:v>212500</c:v>
                </c:pt>
                <c:pt idx="5">
                  <c:v>212500</c:v>
                </c:pt>
                <c:pt idx="6">
                  <c:v>212500</c:v>
                </c:pt>
                <c:pt idx="7">
                  <c:v>212500</c:v>
                </c:pt>
                <c:pt idx="8">
                  <c:v>212500</c:v>
                </c:pt>
                <c:pt idx="9">
                  <c:v>212500</c:v>
                </c:pt>
                <c:pt idx="10">
                  <c:v>212500</c:v>
                </c:pt>
                <c:pt idx="11">
                  <c:v>212500</c:v>
                </c:pt>
                <c:pt idx="12">
                  <c:v>212500</c:v>
                </c:pt>
                <c:pt idx="13">
                  <c:v>212500</c:v>
                </c:pt>
                <c:pt idx="14">
                  <c:v>212500</c:v>
                </c:pt>
                <c:pt idx="15">
                  <c:v>212500</c:v>
                </c:pt>
                <c:pt idx="16">
                  <c:v>212500</c:v>
                </c:pt>
                <c:pt idx="17">
                  <c:v>212500</c:v>
                </c:pt>
                <c:pt idx="18">
                  <c:v>212500</c:v>
                </c:pt>
                <c:pt idx="19">
                  <c:v>212500</c:v>
                </c:pt>
                <c:pt idx="20">
                  <c:v>212500</c:v>
                </c:pt>
              </c:numCache>
            </c:numRef>
          </c:val>
          <c:smooth val="0"/>
          <c:extLst>
            <c:ext xmlns:c16="http://schemas.microsoft.com/office/drawing/2014/chart" uri="{C3380CC4-5D6E-409C-BE32-E72D297353CC}">
              <c16:uniqueId val="{00000000-C48C-4646-9FF2-2A657E9F23F1}"/>
            </c:ext>
          </c:extLst>
        </c:ser>
        <c:ser>
          <c:idx val="1"/>
          <c:order val="1"/>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c:f>
              <c:numCache>
                <c:formatCode>#\ ##0_ ;\-#\ ##0\ </c:formatCode>
                <c:ptCount val="21"/>
                <c:pt idx="0">
                  <c:v>0</c:v>
                </c:pt>
                <c:pt idx="1">
                  <c:v>24600</c:v>
                </c:pt>
                <c:pt idx="2">
                  <c:v>49200</c:v>
                </c:pt>
                <c:pt idx="3">
                  <c:v>73800</c:v>
                </c:pt>
                <c:pt idx="4">
                  <c:v>98400</c:v>
                </c:pt>
                <c:pt idx="5">
                  <c:v>123000</c:v>
                </c:pt>
                <c:pt idx="6">
                  <c:v>147600</c:v>
                </c:pt>
                <c:pt idx="7">
                  <c:v>172200</c:v>
                </c:pt>
                <c:pt idx="8">
                  <c:v>196800</c:v>
                </c:pt>
                <c:pt idx="9">
                  <c:v>221400</c:v>
                </c:pt>
                <c:pt idx="10">
                  <c:v>246000</c:v>
                </c:pt>
                <c:pt idx="11">
                  <c:v>270600</c:v>
                </c:pt>
                <c:pt idx="12">
                  <c:v>295200</c:v>
                </c:pt>
                <c:pt idx="13">
                  <c:v>319800</c:v>
                </c:pt>
                <c:pt idx="14">
                  <c:v>344400</c:v>
                </c:pt>
                <c:pt idx="15">
                  <c:v>369000</c:v>
                </c:pt>
                <c:pt idx="16">
                  <c:v>393600</c:v>
                </c:pt>
                <c:pt idx="17">
                  <c:v>418200</c:v>
                </c:pt>
                <c:pt idx="18">
                  <c:v>442800</c:v>
                </c:pt>
                <c:pt idx="19">
                  <c:v>467400</c:v>
                </c:pt>
                <c:pt idx="20">
                  <c:v>492000</c:v>
                </c:pt>
              </c:numCache>
            </c:numRef>
          </c:val>
          <c:smooth val="0"/>
          <c:extLst>
            <c:ext xmlns:c16="http://schemas.microsoft.com/office/drawing/2014/chart" uri="{C3380CC4-5D6E-409C-BE32-E72D297353CC}">
              <c16:uniqueId val="{00000001-C48C-4646-9FF2-2A657E9F23F1}"/>
            </c:ext>
          </c:extLst>
        </c:ser>
        <c:ser>
          <c:idx val="2"/>
          <c:order val="2"/>
          <c:tx>
            <c:strRef>
              <c:f>'6. Pay back time'!$K$9:$K$10</c:f>
              <c:strCache>
                <c:ptCount val="2"/>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c:f>
              <c:numCache>
                <c:formatCode>#\ ##0_ ;\-#\ ##0\ </c:formatCode>
                <c:ptCount val="21"/>
                <c:pt idx="0">
                  <c:v>0</c:v>
                </c:pt>
                <c:pt idx="1">
                  <c:v>24600</c:v>
                </c:pt>
                <c:pt idx="2">
                  <c:v>49938</c:v>
                </c:pt>
                <c:pt idx="3">
                  <c:v>76036.14</c:v>
                </c:pt>
                <c:pt idx="4">
                  <c:v>102917.2242</c:v>
                </c:pt>
                <c:pt idx="5">
                  <c:v>130604.740926</c:v>
                </c:pt>
                <c:pt idx="6">
                  <c:v>159122.88315378001</c:v>
                </c:pt>
                <c:pt idx="7">
                  <c:v>188496.56964839343</c:v>
                </c:pt>
                <c:pt idx="8">
                  <c:v>218751.46673784524</c:v>
                </c:pt>
                <c:pt idx="9">
                  <c:v>249914.01073998061</c:v>
                </c:pt>
                <c:pt idx="10">
                  <c:v>282011.43106218003</c:v>
                </c:pt>
                <c:pt idx="11">
                  <c:v>315071.77399404545</c:v>
                </c:pt>
                <c:pt idx="12">
                  <c:v>349123.92721386685</c:v>
                </c:pt>
                <c:pt idx="13">
                  <c:v>384197.64503028285</c:v>
                </c:pt>
                <c:pt idx="14">
                  <c:v>420323.57438119134</c:v>
                </c:pt>
                <c:pt idx="15">
                  <c:v>457533.28161262709</c:v>
                </c:pt>
                <c:pt idx="16">
                  <c:v>495859.28006100591</c:v>
                </c:pt>
                <c:pt idx="17">
                  <c:v>535335.05846283608</c:v>
                </c:pt>
                <c:pt idx="18">
                  <c:v>575995.11021672119</c:v>
                </c:pt>
                <c:pt idx="19">
                  <c:v>617874.96352322283</c:v>
                </c:pt>
                <c:pt idx="20">
                  <c:v>661011.21242891951</c:v>
                </c:pt>
              </c:numCache>
            </c:numRef>
          </c:val>
          <c:smooth val="0"/>
          <c:extLst>
            <c:ext xmlns:c16="http://schemas.microsoft.com/office/drawing/2014/chart" uri="{C3380CC4-5D6E-409C-BE32-E72D297353CC}">
              <c16:uniqueId val="{00000002-C48C-4646-9FF2-2A657E9F23F1}"/>
            </c:ext>
          </c:extLst>
        </c:ser>
        <c:ser>
          <c:idx val="3"/>
          <c:order val="3"/>
          <c:tx>
            <c:strRef>
              <c:f>'6. Pay back time'!$M$9:$M$10</c:f>
              <c:strCache>
                <c:ptCount val="2"/>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[0]!Payback_2ep_change2</c:f>
              <c:numCache>
                <c:formatCode>#\ ##0_ ;\-#\ ##0\ </c:formatCode>
                <c:ptCount val="21"/>
                <c:pt idx="0">
                  <c:v>0</c:v>
                </c:pt>
                <c:pt idx="1">
                  <c:v>24600</c:v>
                </c:pt>
                <c:pt idx="2">
                  <c:v>50676</c:v>
                </c:pt>
                <c:pt idx="3">
                  <c:v>78316.56</c:v>
                </c:pt>
                <c:pt idx="4">
                  <c:v>107615.5536</c:v>
                </c:pt>
                <c:pt idx="5">
                  <c:v>138672.48681599999</c:v>
                </c:pt>
                <c:pt idx="6">
                  <c:v>171592.83602495998</c:v>
                </c:pt>
                <c:pt idx="7">
                  <c:v>206488.40618645761</c:v>
                </c:pt>
                <c:pt idx="8">
                  <c:v>243477.71055764507</c:v>
                </c:pt>
                <c:pt idx="9">
                  <c:v>282686.3731911038</c:v>
                </c:pt>
                <c:pt idx="10">
                  <c:v>324247.55558257003</c:v>
                </c:pt>
                <c:pt idx="11">
                  <c:v>368302.40891752427</c:v>
                </c:pt>
                <c:pt idx="12">
                  <c:v>415000.55345257575</c:v>
                </c:pt>
                <c:pt idx="13">
                  <c:v>464500.5866597303</c:v>
                </c:pt>
                <c:pt idx="14">
                  <c:v>516970.62185931415</c:v>
                </c:pt>
                <c:pt idx="15">
                  <c:v>572588.85917087307</c:v>
                </c:pt>
                <c:pt idx="16">
                  <c:v>631544.19072112546</c:v>
                </c:pt>
                <c:pt idx="17">
                  <c:v>694036.84216439305</c:v>
                </c:pt>
                <c:pt idx="18">
                  <c:v>760279.05269425665</c:v>
                </c:pt>
                <c:pt idx="19">
                  <c:v>830495.79585591203</c:v>
                </c:pt>
                <c:pt idx="20">
                  <c:v>904925.54360726674</c:v>
                </c:pt>
              </c:numCache>
            </c:numRef>
          </c:val>
          <c:smooth val="0"/>
          <c:extLst>
            <c:ext xmlns:c16="http://schemas.microsoft.com/office/drawing/2014/chart" uri="{C3380CC4-5D6E-409C-BE32-E72D297353CC}">
              <c16:uniqueId val="{00000003-C48C-4646-9FF2-2A657E9F23F1}"/>
            </c:ext>
          </c:extLst>
        </c:ser>
        <c:dLbls>
          <c:showLegendKey val="0"/>
          <c:showVal val="0"/>
          <c:showCatName val="0"/>
          <c:showSerName val="0"/>
          <c:showPercent val="0"/>
          <c:showBubbleSize val="0"/>
        </c:dLbls>
        <c:smooth val="0"/>
        <c:axId val="585965696"/>
        <c:axId val="585960992"/>
      </c:lineChart>
      <c:catAx>
        <c:axId val="58596569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4.5200318069580712E-2"/>
              <c:y val="0.6410512411438765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0992"/>
        <c:crosses val="autoZero"/>
        <c:auto val="1"/>
        <c:lblAlgn val="ctr"/>
        <c:lblOffset val="100"/>
        <c:noMultiLvlLbl val="0"/>
      </c:catAx>
      <c:valAx>
        <c:axId val="585960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1366742596810934"/>
              <c:y val="3.223592333977117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5696"/>
        <c:crosses val="autoZero"/>
        <c:crossBetween val="between"/>
      </c:valAx>
      <c:spPr>
        <a:noFill/>
        <a:ln>
          <a:noFill/>
        </a:ln>
        <a:effectLst/>
      </c:spPr>
    </c:plotArea>
    <c:legend>
      <c:legendPos val="b"/>
      <c:layout>
        <c:manualLayout>
          <c:xMode val="edge"/>
          <c:yMode val="edge"/>
          <c:x val="4.1064456920105923E-3"/>
          <c:y val="0.71239077416207919"/>
          <c:w val="0.99061503416856489"/>
          <c:h val="0.28758375791261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 back period, Both measures</a:t>
            </a:r>
          </a:p>
        </c:rich>
      </c:tx>
      <c:layout>
        <c:manualLayout>
          <c:xMode val="edge"/>
          <c:yMode val="edge"/>
          <c:x val="0.16933333333333336"/>
          <c:y val="1.3880853457534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447003499562556"/>
          <c:y val="5.7141207262637404E-2"/>
          <c:w val="0.81497440944881894"/>
          <c:h val="0.45497102144136453"/>
        </c:manualLayout>
      </c:layout>
      <c:lineChart>
        <c:grouping val="standard"/>
        <c:varyColors val="0"/>
        <c:ser>
          <c:idx val="0"/>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[0]!Payback_1_invest</c:f>
              <c:numCache>
                <c:formatCode>#\ ##0_ ;\-#\ ##0\ </c:formatCode>
                <c:ptCount val="21"/>
                <c:pt idx="0">
                  <c:v>156400</c:v>
                </c:pt>
                <c:pt idx="1">
                  <c:v>156400</c:v>
                </c:pt>
                <c:pt idx="2">
                  <c:v>156400</c:v>
                </c:pt>
                <c:pt idx="3">
                  <c:v>156400</c:v>
                </c:pt>
                <c:pt idx="4">
                  <c:v>156400</c:v>
                </c:pt>
                <c:pt idx="5">
                  <c:v>156400</c:v>
                </c:pt>
                <c:pt idx="6">
                  <c:v>156400</c:v>
                </c:pt>
                <c:pt idx="7">
                  <c:v>156400</c:v>
                </c:pt>
                <c:pt idx="8">
                  <c:v>156400</c:v>
                </c:pt>
                <c:pt idx="9">
                  <c:v>156400</c:v>
                </c:pt>
                <c:pt idx="10">
                  <c:v>156400</c:v>
                </c:pt>
                <c:pt idx="11">
                  <c:v>156400</c:v>
                </c:pt>
                <c:pt idx="12">
                  <c:v>156400</c:v>
                </c:pt>
                <c:pt idx="13">
                  <c:v>156400</c:v>
                </c:pt>
                <c:pt idx="14">
                  <c:v>156400</c:v>
                </c:pt>
                <c:pt idx="15">
                  <c:v>156400</c:v>
                </c:pt>
                <c:pt idx="16">
                  <c:v>156400</c:v>
                </c:pt>
                <c:pt idx="17">
                  <c:v>156400</c:v>
                </c:pt>
                <c:pt idx="18">
                  <c:v>156400</c:v>
                </c:pt>
                <c:pt idx="19">
                  <c:v>156400</c:v>
                </c:pt>
                <c:pt idx="20">
                  <c:v>156400</c:v>
                </c:pt>
              </c:numCache>
            </c:numRef>
          </c:val>
          <c:smooth val="0"/>
          <c:extLst>
            <c:ext xmlns:c16="http://schemas.microsoft.com/office/drawing/2014/chart" uri="{C3380CC4-5D6E-409C-BE32-E72D297353CC}">
              <c16:uniqueId val="{00000000-572B-4817-A438-CB7044AEE81E}"/>
            </c:ext>
          </c:extLst>
        </c:ser>
        <c:ser>
          <c:idx val="1"/>
          <c:order val="1"/>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[0]!Payback_2_invest</c:f>
              <c:numCache>
                <c:formatCode>#\ ##0_ ;\-#\ ##0\ </c:formatCode>
                <c:ptCount val="21"/>
                <c:pt idx="0">
                  <c:v>212500</c:v>
                </c:pt>
                <c:pt idx="1">
                  <c:v>212500</c:v>
                </c:pt>
                <c:pt idx="2">
                  <c:v>212500</c:v>
                </c:pt>
                <c:pt idx="3">
                  <c:v>212500</c:v>
                </c:pt>
                <c:pt idx="4">
                  <c:v>212500</c:v>
                </c:pt>
                <c:pt idx="5">
                  <c:v>212500</c:v>
                </c:pt>
                <c:pt idx="6">
                  <c:v>212500</c:v>
                </c:pt>
                <c:pt idx="7">
                  <c:v>212500</c:v>
                </c:pt>
                <c:pt idx="8">
                  <c:v>212500</c:v>
                </c:pt>
                <c:pt idx="9">
                  <c:v>212500</c:v>
                </c:pt>
                <c:pt idx="10">
                  <c:v>212500</c:v>
                </c:pt>
                <c:pt idx="11">
                  <c:v>212500</c:v>
                </c:pt>
                <c:pt idx="12">
                  <c:v>212500</c:v>
                </c:pt>
                <c:pt idx="13">
                  <c:v>212500</c:v>
                </c:pt>
                <c:pt idx="14">
                  <c:v>212500</c:v>
                </c:pt>
                <c:pt idx="15">
                  <c:v>212500</c:v>
                </c:pt>
                <c:pt idx="16">
                  <c:v>212500</c:v>
                </c:pt>
                <c:pt idx="17">
                  <c:v>212500</c:v>
                </c:pt>
                <c:pt idx="18">
                  <c:v>212500</c:v>
                </c:pt>
                <c:pt idx="19">
                  <c:v>212500</c:v>
                </c:pt>
                <c:pt idx="20">
                  <c:v>212500</c:v>
                </c:pt>
              </c:numCache>
            </c:numRef>
          </c:val>
          <c:smooth val="0"/>
          <c:extLst>
            <c:ext xmlns:c16="http://schemas.microsoft.com/office/drawing/2014/chart" uri="{C3380CC4-5D6E-409C-BE32-E72D297353CC}">
              <c16:uniqueId val="{00000001-572B-4817-A438-CB7044AEE81E}"/>
            </c:ext>
          </c:extLst>
        </c:ser>
        <c:ser>
          <c:idx val="2"/>
          <c:order val="2"/>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c:f>
              <c:numCache>
                <c:formatCode>#\ ##0_ ;\-#\ ##0\ </c:formatCode>
                <c:ptCount val="21"/>
                <c:pt idx="0">
                  <c:v>0</c:v>
                </c:pt>
                <c:pt idx="1">
                  <c:v>11460</c:v>
                </c:pt>
                <c:pt idx="2">
                  <c:v>22920</c:v>
                </c:pt>
                <c:pt idx="3">
                  <c:v>34380</c:v>
                </c:pt>
                <c:pt idx="4">
                  <c:v>45840</c:v>
                </c:pt>
                <c:pt idx="5">
                  <c:v>57300</c:v>
                </c:pt>
                <c:pt idx="6">
                  <c:v>68760</c:v>
                </c:pt>
                <c:pt idx="7">
                  <c:v>80220</c:v>
                </c:pt>
                <c:pt idx="8">
                  <c:v>91680</c:v>
                </c:pt>
                <c:pt idx="9">
                  <c:v>103140</c:v>
                </c:pt>
                <c:pt idx="10">
                  <c:v>114600</c:v>
                </c:pt>
                <c:pt idx="11">
                  <c:v>126060</c:v>
                </c:pt>
                <c:pt idx="12">
                  <c:v>137520</c:v>
                </c:pt>
                <c:pt idx="13">
                  <c:v>148980</c:v>
                </c:pt>
                <c:pt idx="14">
                  <c:v>160440</c:v>
                </c:pt>
                <c:pt idx="15">
                  <c:v>171900</c:v>
                </c:pt>
                <c:pt idx="16">
                  <c:v>183360</c:v>
                </c:pt>
                <c:pt idx="17">
                  <c:v>194820</c:v>
                </c:pt>
                <c:pt idx="18">
                  <c:v>206280</c:v>
                </c:pt>
                <c:pt idx="19">
                  <c:v>217740</c:v>
                </c:pt>
                <c:pt idx="20">
                  <c:v>229200</c:v>
                </c:pt>
              </c:numCache>
            </c:numRef>
          </c:val>
          <c:smooth val="0"/>
          <c:extLst>
            <c:ext xmlns:c16="http://schemas.microsoft.com/office/drawing/2014/chart" uri="{C3380CC4-5D6E-409C-BE32-E72D297353CC}">
              <c16:uniqueId val="{00000002-572B-4817-A438-CB7044AEE81E}"/>
            </c:ext>
          </c:extLst>
        </c:ser>
        <c:ser>
          <c:idx val="3"/>
          <c:order val="3"/>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c:f>
              <c:numCache>
                <c:formatCode>#\ ##0_ ;\-#\ ##0\ </c:formatCode>
                <c:ptCount val="21"/>
                <c:pt idx="0">
                  <c:v>0</c:v>
                </c:pt>
                <c:pt idx="1">
                  <c:v>24600</c:v>
                </c:pt>
                <c:pt idx="2">
                  <c:v>49200</c:v>
                </c:pt>
                <c:pt idx="3">
                  <c:v>73800</c:v>
                </c:pt>
                <c:pt idx="4">
                  <c:v>98400</c:v>
                </c:pt>
                <c:pt idx="5">
                  <c:v>123000</c:v>
                </c:pt>
                <c:pt idx="6">
                  <c:v>147600</c:v>
                </c:pt>
                <c:pt idx="7">
                  <c:v>172200</c:v>
                </c:pt>
                <c:pt idx="8">
                  <c:v>196800</c:v>
                </c:pt>
                <c:pt idx="9">
                  <c:v>221400</c:v>
                </c:pt>
                <c:pt idx="10">
                  <c:v>246000</c:v>
                </c:pt>
                <c:pt idx="11">
                  <c:v>270600</c:v>
                </c:pt>
                <c:pt idx="12">
                  <c:v>295200</c:v>
                </c:pt>
                <c:pt idx="13">
                  <c:v>319800</c:v>
                </c:pt>
                <c:pt idx="14">
                  <c:v>344400</c:v>
                </c:pt>
                <c:pt idx="15">
                  <c:v>369000</c:v>
                </c:pt>
                <c:pt idx="16">
                  <c:v>393600</c:v>
                </c:pt>
                <c:pt idx="17">
                  <c:v>418200</c:v>
                </c:pt>
                <c:pt idx="18">
                  <c:v>442800</c:v>
                </c:pt>
                <c:pt idx="19">
                  <c:v>467400</c:v>
                </c:pt>
                <c:pt idx="20">
                  <c:v>492000</c:v>
                </c:pt>
              </c:numCache>
            </c:numRef>
          </c:val>
          <c:smooth val="0"/>
          <c:extLst>
            <c:ext xmlns:c16="http://schemas.microsoft.com/office/drawing/2014/chart" uri="{C3380CC4-5D6E-409C-BE32-E72D297353CC}">
              <c16:uniqueId val="{00000003-572B-4817-A438-CB7044AEE81E}"/>
            </c:ext>
          </c:extLst>
        </c:ser>
        <c:ser>
          <c:idx val="4"/>
          <c:order val="4"/>
          <c:tx>
            <c:strRef>
              <c:f>'6. Pay back time'!$J$9:$J$11</c:f>
              <c:strCache>
                <c:ptCount val="3"/>
                <c:pt idx="0">
                  <c:v>Payback_1 Decrease energy/water costs (€)</c:v>
                </c:pt>
                <c:pt idx="1">
                  <c:v>Option 1. Energy/water prices change</c:v>
                </c:pt>
              </c:strCache>
            </c:strRef>
          </c:tx>
          <c:spPr>
            <a:ln w="28575" cap="rnd">
              <a:solidFill>
                <a:srgbClr val="7030A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c:f>
              <c:numCache>
                <c:formatCode>#\ ##0_ ;\-#\ ##0\ </c:formatCode>
                <c:ptCount val="21"/>
                <c:pt idx="0">
                  <c:v>0</c:v>
                </c:pt>
                <c:pt idx="1">
                  <c:v>11460</c:v>
                </c:pt>
                <c:pt idx="2">
                  <c:v>23263.8</c:v>
                </c:pt>
                <c:pt idx="3">
                  <c:v>35421.714</c:v>
                </c:pt>
                <c:pt idx="4">
                  <c:v>47944.365420000002</c:v>
                </c:pt>
                <c:pt idx="5">
                  <c:v>60842.696382600006</c:v>
                </c:pt>
                <c:pt idx="6">
                  <c:v>74127.977274078003</c:v>
                </c:pt>
                <c:pt idx="7">
                  <c:v>87811.81659230034</c:v>
                </c:pt>
                <c:pt idx="8">
                  <c:v>101906.17109006936</c:v>
                </c:pt>
                <c:pt idx="9">
                  <c:v>116423.35622277144</c:v>
                </c:pt>
                <c:pt idx="10">
                  <c:v>131376.05690945458</c:v>
                </c:pt>
                <c:pt idx="11">
                  <c:v>146777.33861673821</c:v>
                </c:pt>
                <c:pt idx="12">
                  <c:v>162640.65877524036</c:v>
                </c:pt>
                <c:pt idx="13">
                  <c:v>178979.87853849758</c:v>
                </c:pt>
                <c:pt idx="14">
                  <c:v>195809.27489465251</c:v>
                </c:pt>
                <c:pt idx="15">
                  <c:v>213143.5531414921</c:v>
                </c:pt>
                <c:pt idx="16">
                  <c:v>230997.85973573686</c:v>
                </c:pt>
                <c:pt idx="17">
                  <c:v>249387.79552780898</c:v>
                </c:pt>
                <c:pt idx="18">
                  <c:v>268329.42939364328</c:v>
                </c:pt>
                <c:pt idx="19">
                  <c:v>287839.3122754526</c:v>
                </c:pt>
                <c:pt idx="20">
                  <c:v>307934.49164371617</c:v>
                </c:pt>
              </c:numCache>
            </c:numRef>
          </c:val>
          <c:smooth val="0"/>
          <c:extLst>
            <c:ext xmlns:c16="http://schemas.microsoft.com/office/drawing/2014/chart" uri="{C3380CC4-5D6E-409C-BE32-E72D297353CC}">
              <c16:uniqueId val="{00000004-572B-4817-A438-CB7044AEE81E}"/>
            </c:ext>
          </c:extLst>
        </c:ser>
        <c:ser>
          <c:idx val="5"/>
          <c:order val="5"/>
          <c:tx>
            <c:strRef>
              <c:f>'6. Pay back time'!$K$9:$K$11</c:f>
              <c:strCache>
                <c:ptCount val="3"/>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c:f>
              <c:numCache>
                <c:formatCode>#\ ##0_ ;\-#\ ##0\ </c:formatCode>
                <c:ptCount val="21"/>
                <c:pt idx="0">
                  <c:v>0</c:v>
                </c:pt>
                <c:pt idx="1">
                  <c:v>24600</c:v>
                </c:pt>
                <c:pt idx="2">
                  <c:v>49938</c:v>
                </c:pt>
                <c:pt idx="3">
                  <c:v>76036.14</c:v>
                </c:pt>
                <c:pt idx="4">
                  <c:v>102917.2242</c:v>
                </c:pt>
                <c:pt idx="5">
                  <c:v>130604.740926</c:v>
                </c:pt>
                <c:pt idx="6">
                  <c:v>159122.88315378001</c:v>
                </c:pt>
                <c:pt idx="7">
                  <c:v>188496.56964839343</c:v>
                </c:pt>
                <c:pt idx="8">
                  <c:v>218751.46673784524</c:v>
                </c:pt>
                <c:pt idx="9">
                  <c:v>249914.01073998061</c:v>
                </c:pt>
                <c:pt idx="10">
                  <c:v>282011.43106218003</c:v>
                </c:pt>
                <c:pt idx="11">
                  <c:v>315071.77399404545</c:v>
                </c:pt>
                <c:pt idx="12">
                  <c:v>349123.92721386685</c:v>
                </c:pt>
                <c:pt idx="13">
                  <c:v>384197.64503028285</c:v>
                </c:pt>
                <c:pt idx="14">
                  <c:v>420323.57438119134</c:v>
                </c:pt>
                <c:pt idx="15">
                  <c:v>457533.28161262709</c:v>
                </c:pt>
                <c:pt idx="16">
                  <c:v>495859.28006100591</c:v>
                </c:pt>
                <c:pt idx="17">
                  <c:v>535335.05846283608</c:v>
                </c:pt>
                <c:pt idx="18">
                  <c:v>575995.11021672119</c:v>
                </c:pt>
                <c:pt idx="19">
                  <c:v>617874.96352322283</c:v>
                </c:pt>
                <c:pt idx="20">
                  <c:v>661011.21242891951</c:v>
                </c:pt>
              </c:numCache>
            </c:numRef>
          </c:val>
          <c:smooth val="0"/>
          <c:extLst>
            <c:ext xmlns:c16="http://schemas.microsoft.com/office/drawing/2014/chart" uri="{C3380CC4-5D6E-409C-BE32-E72D297353CC}">
              <c16:uniqueId val="{00000005-572B-4817-A438-CB7044AEE81E}"/>
            </c:ext>
          </c:extLst>
        </c:ser>
        <c:ser>
          <c:idx val="6"/>
          <c:order val="6"/>
          <c:tx>
            <c:strRef>
              <c:f>'6. Pay back time'!$L$9:$L$11</c:f>
              <c:strCache>
                <c:ptCount val="3"/>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[0]!Payback_1ep_change2</c:f>
              <c:numCache>
                <c:formatCode>#\ ##0_ ;\-#\ ##0\ </c:formatCode>
                <c:ptCount val="21"/>
                <c:pt idx="0">
                  <c:v>0</c:v>
                </c:pt>
                <c:pt idx="1">
                  <c:v>11460</c:v>
                </c:pt>
                <c:pt idx="2">
                  <c:v>23607.599999999999</c:v>
                </c:pt>
                <c:pt idx="3">
                  <c:v>36484.055999999997</c:v>
                </c:pt>
                <c:pt idx="4">
                  <c:v>50133.09936</c:v>
                </c:pt>
                <c:pt idx="5">
                  <c:v>64601.085321600003</c:v>
                </c:pt>
                <c:pt idx="6">
                  <c:v>79937.150440896003</c:v>
                </c:pt>
                <c:pt idx="7">
                  <c:v>96193.379467349761</c:v>
                </c:pt>
                <c:pt idx="8">
                  <c:v>113424.98223539075</c:v>
                </c:pt>
                <c:pt idx="9">
                  <c:v>131690.48116951418</c:v>
                </c:pt>
                <c:pt idx="10">
                  <c:v>151051.91003968503</c:v>
                </c:pt>
                <c:pt idx="11">
                  <c:v>171575.02464206613</c:v>
                </c:pt>
                <c:pt idx="12">
                  <c:v>193329.5261205901</c:v>
                </c:pt>
                <c:pt idx="13">
                  <c:v>216389.29768782551</c:v>
                </c:pt>
                <c:pt idx="14">
                  <c:v>240832.65554909504</c:v>
                </c:pt>
                <c:pt idx="15">
                  <c:v>266742.61488204077</c:v>
                </c:pt>
                <c:pt idx="16">
                  <c:v>294207.17177496321</c:v>
                </c:pt>
                <c:pt idx="17">
                  <c:v>323319.60208146099</c:v>
                </c:pt>
                <c:pt idx="18">
                  <c:v>354178.77820634865</c:v>
                </c:pt>
                <c:pt idx="19">
                  <c:v>386889.50489872956</c:v>
                </c:pt>
                <c:pt idx="20">
                  <c:v>421562.87519265333</c:v>
                </c:pt>
              </c:numCache>
            </c:numRef>
          </c:val>
          <c:smooth val="0"/>
          <c:extLst>
            <c:ext xmlns:c16="http://schemas.microsoft.com/office/drawing/2014/chart" uri="{C3380CC4-5D6E-409C-BE32-E72D297353CC}">
              <c16:uniqueId val="{00000006-572B-4817-A438-CB7044AEE81E}"/>
            </c:ext>
          </c:extLst>
        </c:ser>
        <c:ser>
          <c:idx val="7"/>
          <c:order val="7"/>
          <c:tx>
            <c:strRef>
              <c:f>'6. Pay back time'!$M$9:$M$11</c:f>
              <c:strCache>
                <c:ptCount val="3"/>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[0]!Payback_2ep_change2</c:f>
              <c:numCache>
                <c:formatCode>#\ ##0_ ;\-#\ ##0\ </c:formatCode>
                <c:ptCount val="21"/>
                <c:pt idx="0">
                  <c:v>0</c:v>
                </c:pt>
                <c:pt idx="1">
                  <c:v>24600</c:v>
                </c:pt>
                <c:pt idx="2">
                  <c:v>50676</c:v>
                </c:pt>
                <c:pt idx="3">
                  <c:v>78316.56</c:v>
                </c:pt>
                <c:pt idx="4">
                  <c:v>107615.5536</c:v>
                </c:pt>
                <c:pt idx="5">
                  <c:v>138672.48681599999</c:v>
                </c:pt>
                <c:pt idx="6">
                  <c:v>171592.83602495998</c:v>
                </c:pt>
                <c:pt idx="7">
                  <c:v>206488.40618645761</c:v>
                </c:pt>
                <c:pt idx="8">
                  <c:v>243477.71055764507</c:v>
                </c:pt>
                <c:pt idx="9">
                  <c:v>282686.3731911038</c:v>
                </c:pt>
                <c:pt idx="10">
                  <c:v>324247.55558257003</c:v>
                </c:pt>
                <c:pt idx="11">
                  <c:v>368302.40891752427</c:v>
                </c:pt>
                <c:pt idx="12">
                  <c:v>415000.55345257575</c:v>
                </c:pt>
                <c:pt idx="13">
                  <c:v>464500.5866597303</c:v>
                </c:pt>
                <c:pt idx="14">
                  <c:v>516970.62185931415</c:v>
                </c:pt>
                <c:pt idx="15">
                  <c:v>572588.85917087307</c:v>
                </c:pt>
                <c:pt idx="16">
                  <c:v>631544.19072112546</c:v>
                </c:pt>
                <c:pt idx="17">
                  <c:v>694036.84216439305</c:v>
                </c:pt>
                <c:pt idx="18">
                  <c:v>760279.05269425665</c:v>
                </c:pt>
                <c:pt idx="19">
                  <c:v>830495.79585591203</c:v>
                </c:pt>
                <c:pt idx="20">
                  <c:v>904925.54360726674</c:v>
                </c:pt>
              </c:numCache>
            </c:numRef>
          </c:val>
          <c:smooth val="0"/>
          <c:extLst>
            <c:ext xmlns:c16="http://schemas.microsoft.com/office/drawing/2014/chart" uri="{C3380CC4-5D6E-409C-BE32-E72D297353CC}">
              <c16:uniqueId val="{00000007-572B-4817-A438-CB7044AEE81E}"/>
            </c:ext>
          </c:extLst>
        </c:ser>
        <c:dLbls>
          <c:showLegendKey val="0"/>
          <c:showVal val="0"/>
          <c:showCatName val="0"/>
          <c:showSerName val="0"/>
          <c:showPercent val="0"/>
          <c:showBubbleSize val="0"/>
        </c:dLbls>
        <c:smooth val="0"/>
        <c:axId val="585961384"/>
        <c:axId val="585966872"/>
      </c:lineChart>
      <c:catAx>
        <c:axId val="5859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6872"/>
        <c:crosses val="autoZero"/>
        <c:auto val="1"/>
        <c:lblAlgn val="ctr"/>
        <c:lblOffset val="100"/>
        <c:noMultiLvlLbl val="0"/>
      </c:catAx>
      <c:valAx>
        <c:axId val="585966872"/>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1384"/>
        <c:crosses val="autoZero"/>
        <c:crossBetween val="between"/>
      </c:valAx>
      <c:spPr>
        <a:noFill/>
        <a:ln>
          <a:noFill/>
        </a:ln>
        <a:effectLst/>
      </c:spPr>
    </c:plotArea>
    <c:legend>
      <c:legendPos val="b"/>
      <c:layout>
        <c:manualLayout>
          <c:xMode val="edge"/>
          <c:yMode val="edge"/>
          <c:x val="7.9326334208223978E-2"/>
          <c:y val="0.56980775928778471"/>
          <c:w val="0.84134733158355202"/>
          <c:h val="0.429322035276358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 emissions(t) 2</a:t>
            </a:r>
          </a:p>
        </c:rich>
      </c:tx>
      <c:layout>
        <c:manualLayout>
          <c:xMode val="edge"/>
          <c:yMode val="edge"/>
          <c:x val="0.23221212121212118"/>
          <c:y val="2.96610169491525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075518969219757"/>
          <c:y val="0.16139830508474581"/>
          <c:w val="0.79379026485325699"/>
          <c:h val="0.63487221406646199"/>
        </c:manualLayout>
      </c:layout>
      <c:lineChart>
        <c:grouping val="standard"/>
        <c:varyColors val="0"/>
        <c:ser>
          <c:idx val="1"/>
          <c:order val="0"/>
          <c:tx>
            <c:strRef>
              <c:f>'7. Change of CO2 emissions'!$G$11</c:f>
              <c:strCache>
                <c:ptCount val="1"/>
                <c:pt idx="0">
                  <c:v>CO2_2</c:v>
                </c:pt>
              </c:strCache>
            </c:strRef>
          </c:tx>
          <c:spPr>
            <a:ln w="28575" cap="rnd">
              <a:solidFill>
                <a:srgbClr val="92D050"/>
              </a:solidFill>
              <a:prstDash val="dash"/>
              <a:round/>
            </a:ln>
            <a:effectLst/>
          </c:spPr>
          <c:marker>
            <c:symbol val="none"/>
          </c:marker>
          <c:cat>
            <c:numRef>
              <c:f>[0]!Year_2CO2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[0]!CO2_2</c:f>
              <c:numCache>
                <c:formatCode>General</c:formatCode>
                <c:ptCount val="21"/>
                <c:pt idx="0">
                  <c:v>0</c:v>
                </c:pt>
                <c:pt idx="1">
                  <c:v>-46</c:v>
                </c:pt>
                <c:pt idx="2">
                  <c:v>-92</c:v>
                </c:pt>
                <c:pt idx="3">
                  <c:v>-138</c:v>
                </c:pt>
                <c:pt idx="4">
                  <c:v>-184</c:v>
                </c:pt>
                <c:pt idx="5">
                  <c:v>-230</c:v>
                </c:pt>
                <c:pt idx="6">
                  <c:v>-276</c:v>
                </c:pt>
                <c:pt idx="7">
                  <c:v>-322</c:v>
                </c:pt>
                <c:pt idx="8">
                  <c:v>-368</c:v>
                </c:pt>
                <c:pt idx="9">
                  <c:v>-414</c:v>
                </c:pt>
                <c:pt idx="10">
                  <c:v>-460</c:v>
                </c:pt>
                <c:pt idx="11">
                  <c:v>-506</c:v>
                </c:pt>
                <c:pt idx="12">
                  <c:v>-552</c:v>
                </c:pt>
                <c:pt idx="13">
                  <c:v>-598</c:v>
                </c:pt>
                <c:pt idx="14">
                  <c:v>-644</c:v>
                </c:pt>
                <c:pt idx="15">
                  <c:v>-690</c:v>
                </c:pt>
                <c:pt idx="16">
                  <c:v>-736</c:v>
                </c:pt>
                <c:pt idx="17">
                  <c:v>-782</c:v>
                </c:pt>
                <c:pt idx="18">
                  <c:v>-828</c:v>
                </c:pt>
                <c:pt idx="19">
                  <c:v>-874</c:v>
                </c:pt>
                <c:pt idx="20">
                  <c:v>-920</c:v>
                </c:pt>
              </c:numCache>
            </c:numRef>
          </c:val>
          <c:smooth val="0"/>
          <c:extLst>
            <c:ext xmlns:c16="http://schemas.microsoft.com/office/drawing/2014/chart" uri="{C3380CC4-5D6E-409C-BE32-E72D297353CC}">
              <c16:uniqueId val="{00000000-8499-4624-8C44-C85A727CB9D4}"/>
            </c:ext>
          </c:extLst>
        </c:ser>
        <c:dLbls>
          <c:showLegendKey val="0"/>
          <c:showVal val="0"/>
          <c:showCatName val="0"/>
          <c:showSerName val="0"/>
          <c:showPercent val="0"/>
          <c:showBubbleSize val="0"/>
        </c:dLbls>
        <c:smooth val="0"/>
        <c:axId val="585965304"/>
        <c:axId val="585966480"/>
      </c:lineChart>
      <c:catAx>
        <c:axId val="5859653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6480"/>
        <c:crosses val="autoZero"/>
        <c:auto val="1"/>
        <c:lblAlgn val="ctr"/>
        <c:lblOffset val="100"/>
        <c:noMultiLvlLbl val="0"/>
      </c:catAx>
      <c:valAx>
        <c:axId val="585966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5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 emissions(t)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88885941324716"/>
          <c:y val="0.17171296296296298"/>
          <c:w val="0.80554605636010657"/>
          <c:h val="0.60106408573928261"/>
        </c:manualLayout>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[0]!Year_1CO2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[0]!CO2_1</c:f>
              <c:numCache>
                <c:formatCode>0</c:formatCode>
                <c:ptCount val="21"/>
                <c:pt idx="0" formatCode="General">
                  <c:v>0</c:v>
                </c:pt>
                <c:pt idx="1">
                  <c:v>-20.399999999999999</c:v>
                </c:pt>
                <c:pt idx="2">
                  <c:v>-40.799999999999997</c:v>
                </c:pt>
                <c:pt idx="3">
                  <c:v>-61.2</c:v>
                </c:pt>
                <c:pt idx="4">
                  <c:v>-81.599999999999994</c:v>
                </c:pt>
                <c:pt idx="5">
                  <c:v>-102</c:v>
                </c:pt>
                <c:pt idx="6">
                  <c:v>-122.4</c:v>
                </c:pt>
                <c:pt idx="7">
                  <c:v>-142.80000000000001</c:v>
                </c:pt>
                <c:pt idx="8">
                  <c:v>-163.19999999999999</c:v>
                </c:pt>
                <c:pt idx="9">
                  <c:v>-183.6</c:v>
                </c:pt>
                <c:pt idx="10">
                  <c:v>-204</c:v>
                </c:pt>
                <c:pt idx="11">
                  <c:v>-224.4</c:v>
                </c:pt>
                <c:pt idx="12">
                  <c:v>-244.8</c:v>
                </c:pt>
                <c:pt idx="13">
                  <c:v>-265.2</c:v>
                </c:pt>
                <c:pt idx="14">
                  <c:v>-285.60000000000002</c:v>
                </c:pt>
                <c:pt idx="15">
                  <c:v>-306</c:v>
                </c:pt>
                <c:pt idx="16">
                  <c:v>-326.39999999999998</c:v>
                </c:pt>
                <c:pt idx="17">
                  <c:v>-346.8</c:v>
                </c:pt>
                <c:pt idx="18">
                  <c:v>-367.2</c:v>
                </c:pt>
                <c:pt idx="19">
                  <c:v>-387.6</c:v>
                </c:pt>
                <c:pt idx="20">
                  <c:v>-408</c:v>
                </c:pt>
              </c:numCache>
            </c:numRef>
          </c:val>
          <c:smooth val="0"/>
          <c:extLst>
            <c:ext xmlns:c16="http://schemas.microsoft.com/office/drawing/2014/chart" uri="{C3380CC4-5D6E-409C-BE32-E72D297353CC}">
              <c16:uniqueId val="{00000000-5124-41E6-89B7-93821A642A54}"/>
            </c:ext>
          </c:extLst>
        </c:ser>
        <c:dLbls>
          <c:showLegendKey val="0"/>
          <c:showVal val="0"/>
          <c:showCatName val="0"/>
          <c:showSerName val="0"/>
          <c:showPercent val="0"/>
          <c:showBubbleSize val="0"/>
        </c:dLbls>
        <c:smooth val="0"/>
        <c:axId val="585962952"/>
        <c:axId val="585960208"/>
      </c:lineChart>
      <c:catAx>
        <c:axId val="58596295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0208"/>
        <c:crosses val="autoZero"/>
        <c:auto val="1"/>
        <c:lblAlgn val="ctr"/>
        <c:lblOffset val="100"/>
        <c:noMultiLvlLbl val="1"/>
      </c:catAx>
      <c:valAx>
        <c:axId val="585960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2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Change of CO2-emissions (t), both measures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[0]!Year_CO2_biggest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[0]!CO2_1</c:f>
              <c:numCache>
                <c:formatCode>0</c:formatCode>
                <c:ptCount val="21"/>
                <c:pt idx="0" formatCode="General">
                  <c:v>0</c:v>
                </c:pt>
                <c:pt idx="1">
                  <c:v>-20.399999999999999</c:v>
                </c:pt>
                <c:pt idx="2">
                  <c:v>-40.799999999999997</c:v>
                </c:pt>
                <c:pt idx="3">
                  <c:v>-61.2</c:v>
                </c:pt>
                <c:pt idx="4">
                  <c:v>-81.599999999999994</c:v>
                </c:pt>
                <c:pt idx="5">
                  <c:v>-102</c:v>
                </c:pt>
                <c:pt idx="6">
                  <c:v>-122.4</c:v>
                </c:pt>
                <c:pt idx="7">
                  <c:v>-142.80000000000001</c:v>
                </c:pt>
                <c:pt idx="8">
                  <c:v>-163.19999999999999</c:v>
                </c:pt>
                <c:pt idx="9">
                  <c:v>-183.6</c:v>
                </c:pt>
                <c:pt idx="10">
                  <c:v>-204</c:v>
                </c:pt>
                <c:pt idx="11">
                  <c:v>-224.4</c:v>
                </c:pt>
                <c:pt idx="12">
                  <c:v>-244.8</c:v>
                </c:pt>
                <c:pt idx="13">
                  <c:v>-265.2</c:v>
                </c:pt>
                <c:pt idx="14">
                  <c:v>-285.60000000000002</c:v>
                </c:pt>
                <c:pt idx="15">
                  <c:v>-306</c:v>
                </c:pt>
                <c:pt idx="16">
                  <c:v>-326.39999999999998</c:v>
                </c:pt>
                <c:pt idx="17">
                  <c:v>-346.8</c:v>
                </c:pt>
                <c:pt idx="18">
                  <c:v>-367.2</c:v>
                </c:pt>
                <c:pt idx="19">
                  <c:v>-387.6</c:v>
                </c:pt>
                <c:pt idx="20">
                  <c:v>-408</c:v>
                </c:pt>
              </c:numCache>
            </c:numRef>
          </c:val>
          <c:smooth val="0"/>
          <c:extLst>
            <c:ext xmlns:c16="http://schemas.microsoft.com/office/drawing/2014/chart" uri="{C3380CC4-5D6E-409C-BE32-E72D297353CC}">
              <c16:uniqueId val="{00000000-F055-4A6D-8DDB-FBEE10E01782}"/>
            </c:ext>
          </c:extLst>
        </c:ser>
        <c:ser>
          <c:idx val="1"/>
          <c:order val="1"/>
          <c:tx>
            <c:strRef>
              <c:f>'7. Change of CO2 emissions'!$G$11</c:f>
              <c:strCache>
                <c:ptCount val="1"/>
                <c:pt idx="0">
                  <c:v>CO2_2</c:v>
                </c:pt>
              </c:strCache>
            </c:strRef>
          </c:tx>
          <c:spPr>
            <a:ln w="28575" cap="rnd">
              <a:solidFill>
                <a:srgbClr val="92D050"/>
              </a:solidFill>
              <a:prstDash val="dash"/>
              <a:round/>
            </a:ln>
            <a:effectLst/>
          </c:spPr>
          <c:marker>
            <c:symbol val="none"/>
          </c:marker>
          <c:cat>
            <c:numRef>
              <c:f>[0]!Year_CO2_biggest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[0]!CO2_2</c:f>
              <c:numCache>
                <c:formatCode>General</c:formatCode>
                <c:ptCount val="21"/>
                <c:pt idx="0">
                  <c:v>0</c:v>
                </c:pt>
                <c:pt idx="1">
                  <c:v>-46</c:v>
                </c:pt>
                <c:pt idx="2">
                  <c:v>-92</c:v>
                </c:pt>
                <c:pt idx="3">
                  <c:v>-138</c:v>
                </c:pt>
                <c:pt idx="4">
                  <c:v>-184</c:v>
                </c:pt>
                <c:pt idx="5">
                  <c:v>-230</c:v>
                </c:pt>
                <c:pt idx="6">
                  <c:v>-276</c:v>
                </c:pt>
                <c:pt idx="7">
                  <c:v>-322</c:v>
                </c:pt>
                <c:pt idx="8">
                  <c:v>-368</c:v>
                </c:pt>
                <c:pt idx="9">
                  <c:v>-414</c:v>
                </c:pt>
                <c:pt idx="10">
                  <c:v>-460</c:v>
                </c:pt>
                <c:pt idx="11">
                  <c:v>-506</c:v>
                </c:pt>
                <c:pt idx="12">
                  <c:v>-552</c:v>
                </c:pt>
                <c:pt idx="13">
                  <c:v>-598</c:v>
                </c:pt>
                <c:pt idx="14">
                  <c:v>-644</c:v>
                </c:pt>
                <c:pt idx="15">
                  <c:v>-690</c:v>
                </c:pt>
                <c:pt idx="16">
                  <c:v>-736</c:v>
                </c:pt>
                <c:pt idx="17">
                  <c:v>-782</c:v>
                </c:pt>
                <c:pt idx="18">
                  <c:v>-828</c:v>
                </c:pt>
                <c:pt idx="19">
                  <c:v>-874</c:v>
                </c:pt>
                <c:pt idx="20">
                  <c:v>-920</c:v>
                </c:pt>
              </c:numCache>
            </c:numRef>
          </c:val>
          <c:smooth val="0"/>
          <c:extLst>
            <c:ext xmlns:c16="http://schemas.microsoft.com/office/drawing/2014/chart" uri="{C3380CC4-5D6E-409C-BE32-E72D297353CC}">
              <c16:uniqueId val="{00000001-F055-4A6D-8DDB-FBEE10E01782}"/>
            </c:ext>
          </c:extLst>
        </c:ser>
        <c:dLbls>
          <c:showLegendKey val="0"/>
          <c:showVal val="0"/>
          <c:showCatName val="0"/>
          <c:showSerName val="0"/>
          <c:showPercent val="0"/>
          <c:showBubbleSize val="0"/>
        </c:dLbls>
        <c:smooth val="0"/>
        <c:axId val="585962168"/>
        <c:axId val="585962560"/>
      </c:lineChart>
      <c:catAx>
        <c:axId val="585962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2560"/>
        <c:crosses val="autoZero"/>
        <c:auto val="1"/>
        <c:lblAlgn val="ctr"/>
        <c:lblOffset val="100"/>
        <c:noMultiLvlLbl val="0"/>
      </c:catAx>
      <c:valAx>
        <c:axId val="585962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962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a:t>
            </a:r>
            <a:r>
              <a:rPr lang="en-US" baseline="0"/>
              <a:t> </a:t>
            </a:r>
            <a:r>
              <a:rPr lang="en-US"/>
              <a:t>flow 1</a:t>
            </a:r>
          </a:p>
          <a:p>
            <a:pPr>
              <a:defRPr/>
            </a:pPr>
            <a:r>
              <a:rPr lang="en-US"/>
              <a:t> </a:t>
            </a:r>
          </a:p>
        </c:rich>
      </c:tx>
      <c:layout>
        <c:manualLayout>
          <c:xMode val="edge"/>
          <c:yMode val="edge"/>
          <c:x val="0.44267716535433066"/>
          <c:y val="1.54838646750867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871223288869713"/>
          <c:y val="7.3373601180113671E-2"/>
          <c:w val="0.78543764523625093"/>
          <c:h val="0.65751149394916253"/>
        </c:manualLayout>
      </c:layout>
      <c:lineChart>
        <c:grouping val="standard"/>
        <c:varyColors val="0"/>
        <c:ser>
          <c:idx val="0"/>
          <c:order val="0"/>
          <c:tx>
            <c:strRef>
              <c:f>'4. Cash flow '!$F$9</c:f>
              <c:strCache>
                <c:ptCount val="1"/>
                <c:pt idx="0">
                  <c:v>Cashflow_1</c:v>
                </c:pt>
              </c:strCache>
            </c:strRef>
          </c:tx>
          <c:spPr>
            <a:ln w="28575" cap="rnd">
              <a:solidFill>
                <a:srgbClr val="92D050"/>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c:f>
              <c:numCache>
                <c:formatCode>#\ ##0_ ;\-#\ ##0\ </c:formatCode>
                <c:ptCount val="21"/>
                <c:pt idx="0">
                  <c:v>-156400</c:v>
                </c:pt>
                <c:pt idx="1">
                  <c:v>-149908</c:v>
                </c:pt>
                <c:pt idx="2">
                  <c:v>-143286.16</c:v>
                </c:pt>
                <c:pt idx="3">
                  <c:v>-136531.88320000001</c:v>
                </c:pt>
                <c:pt idx="4">
                  <c:v>-129642.52086400001</c:v>
                </c:pt>
                <c:pt idx="5">
                  <c:v>-122615.37128128001</c:v>
                </c:pt>
                <c:pt idx="6">
                  <c:v>-115447.6787069056</c:v>
                </c:pt>
                <c:pt idx="7">
                  <c:v>-108136.63228104371</c:v>
                </c:pt>
                <c:pt idx="8">
                  <c:v>-100679.36492666458</c:v>
                </c:pt>
                <c:pt idx="9">
                  <c:v>-93072.952225197878</c:v>
                </c:pt>
                <c:pt idx="10">
                  <c:v>-85314.411269701843</c:v>
                </c:pt>
                <c:pt idx="11">
                  <c:v>-77400.699495095876</c:v>
                </c:pt>
                <c:pt idx="12">
                  <c:v>-69328.713484997788</c:v>
                </c:pt>
                <c:pt idx="13">
                  <c:v>-61095.287754697747</c:v>
                </c:pt>
                <c:pt idx="14">
                  <c:v>-52697.193509791701</c:v>
                </c:pt>
                <c:pt idx="15">
                  <c:v>-44131.137379987536</c:v>
                </c:pt>
                <c:pt idx="16">
                  <c:v>-35393.760127587288</c:v>
                </c:pt>
                <c:pt idx="17">
                  <c:v>-26481.635330139034</c:v>
                </c:pt>
                <c:pt idx="18">
                  <c:v>-17391.268036741814</c:v>
                </c:pt>
                <c:pt idx="19">
                  <c:v>-8119.0933974766504</c:v>
                </c:pt>
                <c:pt idx="20">
                  <c:v>1338.5247345738167</c:v>
                </c:pt>
              </c:numCache>
            </c:numRef>
          </c:val>
          <c:smooth val="0"/>
          <c:extLst>
            <c:ext xmlns:c16="http://schemas.microsoft.com/office/drawing/2014/chart" uri="{C3380CC4-5D6E-409C-BE32-E72D297353CC}">
              <c16:uniqueId val="{00000000-10F7-48FC-9217-BB5D0B375445}"/>
            </c:ext>
          </c:extLst>
        </c:ser>
        <c:ser>
          <c:idx val="1"/>
          <c:order val="1"/>
          <c:tx>
            <c:strRef>
              <c:f>'4. Cash flow '!$H$9</c:f>
              <c:strCache>
                <c:ptCount val="1"/>
                <c:pt idx="0">
                  <c:v>Cashflow_1_Option 1. Energy/water prices change</c:v>
                </c:pt>
              </c:strCache>
            </c:strRef>
          </c:tx>
          <c:spPr>
            <a:ln w="28575" cap="rnd">
              <a:solidFill>
                <a:srgbClr val="7030A0"/>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[0]!Cashflow_1ep_change</c:f>
              <c:numCache>
                <c:formatCode>#\ ##0_ ;\-#\ ##0\ </c:formatCode>
                <c:ptCount val="21"/>
                <c:pt idx="0">
                  <c:v>-156400</c:v>
                </c:pt>
                <c:pt idx="1">
                  <c:v>-149908</c:v>
                </c:pt>
                <c:pt idx="2">
                  <c:v>-142942.36000000002</c:v>
                </c:pt>
                <c:pt idx="3">
                  <c:v>-135483.29320000001</c:v>
                </c:pt>
                <c:pt idx="4">
                  <c:v>-127510.30764400001</c:v>
                </c:pt>
                <c:pt idx="5">
                  <c:v>-119002.18283428001</c:v>
                </c:pt>
                <c:pt idx="6">
                  <c:v>-109936.9455994876</c:v>
                </c:pt>
                <c:pt idx="7">
                  <c:v>-100291.84519325502</c:v>
                </c:pt>
                <c:pt idx="8">
                  <c:v>-90043.327599351105</c:v>
                </c:pt>
                <c:pt idx="9">
                  <c:v>-79167.009018636061</c:v>
                </c:pt>
                <c:pt idx="10">
                  <c:v>-67637.648512325643</c:v>
                </c:pt>
                <c:pt idx="11">
                  <c:v>-55429.119775288513</c:v>
                </c:pt>
                <c:pt idx="12">
                  <c:v>-42514.382012292132</c:v>
                </c:pt>
                <c:pt idx="13">
                  <c:v>-28865.449889280761</c:v>
                </c:pt>
                <c:pt idx="14">
                  <c:v>-14453.362530911443</c:v>
                </c:pt>
                <c:pt idx="15">
                  <c:v>751.84846530990671</c:v>
                </c:pt>
                <c:pt idx="16">
                  <c:v>16766.155059554672</c:v>
                </c:pt>
                <c:pt idx="17">
                  <c:v>33316.090851626781</c:v>
                </c:pt>
                <c:pt idx="18">
                  <c:v>50417.724717461053</c:v>
                </c:pt>
                <c:pt idx="19">
                  <c:v>68087.60759927037</c:v>
                </c:pt>
                <c:pt idx="20">
                  <c:v>86342.786967533961</c:v>
                </c:pt>
              </c:numCache>
            </c:numRef>
          </c:val>
          <c:smooth val="0"/>
          <c:extLst>
            <c:ext xmlns:c16="http://schemas.microsoft.com/office/drawing/2014/chart" uri="{C3380CC4-5D6E-409C-BE32-E72D297353CC}">
              <c16:uniqueId val="{00000001-10F7-48FC-9217-BB5D0B375445}"/>
            </c:ext>
          </c:extLst>
        </c:ser>
        <c:ser>
          <c:idx val="2"/>
          <c:order val="2"/>
          <c:tx>
            <c:strRef>
              <c:f>'4. Cash flow '!$J$9</c:f>
              <c:strCache>
                <c:ptCount val="1"/>
                <c:pt idx="0">
                  <c:v>Cashflow_1 Option 2. Energy/water prices change</c:v>
                </c:pt>
              </c:strCache>
            </c:strRef>
          </c:tx>
          <c:spPr>
            <a:ln w="28575" cap="rnd">
              <a:solidFill>
                <a:schemeClr val="bg2">
                  <a:lumMod val="50000"/>
                </a:schemeClr>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[0]!Cashflow_1_ep_change2</c:f>
              <c:numCache>
                <c:formatCode>#\ ##0_ ;\-#\ ##0\ </c:formatCode>
                <c:ptCount val="21"/>
                <c:pt idx="0">
                  <c:v>-156400</c:v>
                </c:pt>
                <c:pt idx="1">
                  <c:v>-149908</c:v>
                </c:pt>
                <c:pt idx="2">
                  <c:v>-142598.56</c:v>
                </c:pt>
                <c:pt idx="3">
                  <c:v>-134414.07520000002</c:v>
                </c:pt>
                <c:pt idx="4">
                  <c:v>-125293.31334400002</c:v>
                </c:pt>
                <c:pt idx="5">
                  <c:v>-115171.19364928002</c:v>
                </c:pt>
                <c:pt idx="6">
                  <c:v>-103978.55240296962</c:v>
                </c:pt>
                <c:pt idx="7">
                  <c:v>-91641.89442457525</c:v>
                </c:pt>
                <c:pt idx="8">
                  <c:v>-78083.12954502576</c:v>
                </c:pt>
                <c:pt idx="9">
                  <c:v>-63219.293201802822</c:v>
                </c:pt>
                <c:pt idx="10">
                  <c:v>-46962.250195668028</c:v>
                </c:pt>
                <c:pt idx="11">
                  <c:v>-29218.380597200285</c:v>
                </c:pt>
                <c:pt idx="12">
                  <c:v>-9888.246730620318</c:v>
                </c:pt>
                <c:pt idx="13">
                  <c:v>11133.759902002685</c:v>
                </c:pt>
                <c:pt idx="14">
                  <c:v>33737.117763272225</c:v>
                </c:pt>
                <c:pt idx="15">
                  <c:v>57807.077096217938</c:v>
                </c:pt>
                <c:pt idx="16">
                  <c:v>83431.633989140391</c:v>
                </c:pt>
                <c:pt idx="17">
                  <c:v>110704.06429563819</c:v>
                </c:pt>
                <c:pt idx="18">
                  <c:v>139723.24042052586</c:v>
                </c:pt>
                <c:pt idx="19">
                  <c:v>170593.9671129068</c:v>
                </c:pt>
                <c:pt idx="20">
                  <c:v>203427.3374068306</c:v>
                </c:pt>
              </c:numCache>
            </c:numRef>
          </c:val>
          <c:smooth val="0"/>
          <c:extLst>
            <c:ext xmlns:c16="http://schemas.microsoft.com/office/drawing/2014/chart" uri="{C3380CC4-5D6E-409C-BE32-E72D297353CC}">
              <c16:uniqueId val="{00000002-10F7-48FC-9217-BB5D0B375445}"/>
            </c:ext>
          </c:extLst>
        </c:ser>
        <c:dLbls>
          <c:showLegendKey val="0"/>
          <c:showVal val="0"/>
          <c:showCatName val="0"/>
          <c:showSerName val="0"/>
          <c:showPercent val="0"/>
          <c:showBubbleSize val="0"/>
        </c:dLbls>
        <c:smooth val="0"/>
        <c:axId val="459249624"/>
        <c:axId val="459251192"/>
      </c:lineChart>
      <c:catAx>
        <c:axId val="4592496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332853941202541"/>
              <c:y val="0.7358982639747425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30" b="0" i="0" u="none" strike="noStrike" kern="1200" spc="-100" baseline="0">
                <a:solidFill>
                  <a:schemeClr val="tx1">
                    <a:lumMod val="65000"/>
                    <a:lumOff val="35000"/>
                  </a:schemeClr>
                </a:solidFill>
                <a:latin typeface="+mn-lt"/>
                <a:ea typeface="+mn-ea"/>
                <a:cs typeface="+mn-cs"/>
              </a:defRPr>
            </a:pPr>
            <a:endParaRPr lang="en-US"/>
          </a:p>
        </c:txPr>
        <c:crossAx val="459251192"/>
        <c:crosses val="autoZero"/>
        <c:auto val="1"/>
        <c:lblAlgn val="ctr"/>
        <c:lblOffset val="100"/>
        <c:noMultiLvlLbl val="1"/>
      </c:catAx>
      <c:valAx>
        <c:axId val="459251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2.7483550857512673E-3"/>
              <c:y val="3.9149295480884541E-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9624"/>
        <c:crosses val="autoZero"/>
        <c:crossBetween val="between"/>
      </c:valAx>
      <c:spPr>
        <a:noFill/>
        <a:ln>
          <a:noFill/>
        </a:ln>
        <a:effectLst/>
      </c:spPr>
    </c:plotArea>
    <c:legend>
      <c:legendPos val="b"/>
      <c:layout>
        <c:manualLayout>
          <c:xMode val="edge"/>
          <c:yMode val="edge"/>
          <c:x val="8.581105854007719E-3"/>
          <c:y val="0.76173149077841784"/>
          <c:w val="0.98236080800321246"/>
          <c:h val="0.209239021296834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Present value NPV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842566897658782"/>
          <c:y val="0.11976495944999881"/>
          <c:w val="0.76402874511152441"/>
          <c:h val="0.65799004681484663"/>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c:f>
              <c:numCache>
                <c:formatCode>#\ ##0_ ;\-#\ ##0\ </c:formatCode>
                <c:ptCount val="21"/>
                <c:pt idx="0">
                  <c:v>-156400</c:v>
                </c:pt>
                <c:pt idx="1">
                  <c:v>-150157.69230769231</c:v>
                </c:pt>
                <c:pt idx="2">
                  <c:v>-144035.42899408285</c:v>
                </c:pt>
                <c:pt idx="3">
                  <c:v>-138030.90151342741</c:v>
                </c:pt>
                <c:pt idx="4">
                  <c:v>-132141.84571509226</c:v>
                </c:pt>
                <c:pt idx="5">
                  <c:v>-126366.04098980203</c:v>
                </c:pt>
                <c:pt idx="6">
                  <c:v>-120701.30943230583</c:v>
                </c:pt>
                <c:pt idx="7">
                  <c:v>-115145.51502014611</c:v>
                </c:pt>
                <c:pt idx="8">
                  <c:v>-109696.56280822022</c:v>
                </c:pt>
                <c:pt idx="9">
                  <c:v>-104352.39813883137</c:v>
                </c:pt>
                <c:pt idx="10">
                  <c:v>-99111.005866930762</c:v>
                </c:pt>
                <c:pt idx="11">
                  <c:v>-93970.409600259023</c:v>
                </c:pt>
                <c:pt idx="12">
                  <c:v>-88928.670954100206</c:v>
                </c:pt>
                <c:pt idx="13">
                  <c:v>-83983.888820367516</c:v>
                </c:pt>
                <c:pt idx="14">
                  <c:v>-79134.198650745064</c:v>
                </c:pt>
                <c:pt idx="15">
                  <c:v>-74377.77175361535</c:v>
                </c:pt>
                <c:pt idx="16">
                  <c:v>-69712.814604507366</c:v>
                </c:pt>
                <c:pt idx="17">
                  <c:v>-65137.568169805309</c:v>
                </c:pt>
                <c:pt idx="18">
                  <c:v>-60650.307243462899</c:v>
                </c:pt>
                <c:pt idx="19">
                  <c:v>-56249.339796473228</c:v>
                </c:pt>
                <c:pt idx="20">
                  <c:v>-51933.006338848747</c:v>
                </c:pt>
              </c:numCache>
            </c:numRef>
          </c:val>
          <c:smooth val="0"/>
          <c:extLst>
            <c:ext xmlns:c16="http://schemas.microsoft.com/office/drawing/2014/chart" uri="{C3380CC4-5D6E-409C-BE32-E72D297353CC}">
              <c16:uniqueId val="{00000000-184B-44DD-A9AF-8E8DC0FD41D5}"/>
            </c:ext>
          </c:extLst>
        </c:ser>
        <c:ser>
          <c:idx val="1"/>
          <c:order val="1"/>
          <c:tx>
            <c:strRef>
              <c:f>'5. NPV'!$H$9</c:f>
              <c:strCache>
                <c:ptCount val="1"/>
                <c:pt idx="0">
                  <c:v>NPV_1 Option 1. Energy/water prices change</c:v>
                </c:pt>
              </c:strCache>
            </c:strRef>
          </c:tx>
          <c:spPr>
            <a:ln w="28575" cap="rnd">
              <a:solidFill>
                <a:srgbClr val="7030A0"/>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c:f>
              <c:numCache>
                <c:formatCode>#\ ##0_ ;\-#\ ##0\ </c:formatCode>
                <c:ptCount val="21"/>
                <c:pt idx="0">
                  <c:v>-156400</c:v>
                </c:pt>
                <c:pt idx="1">
                  <c:v>-150157.69230769231</c:v>
                </c:pt>
                <c:pt idx="2">
                  <c:v>-143717.56656804733</c:v>
                </c:pt>
                <c:pt idx="3">
                  <c:v>-137086.48334376421</c:v>
                </c:pt>
                <c:pt idx="4">
                  <c:v>-130271.14187547594</c:v>
                </c:pt>
                <c:pt idx="5">
                  <c:v>-123278.08346667532</c:v>
                </c:pt>
                <c:pt idx="6">
                  <c:v>-116113.69480082911</c:v>
                </c:pt>
                <c:pt idx="7">
                  <c:v>-108784.21119201051</c:v>
                </c:pt>
                <c:pt idx="8">
                  <c:v>-101295.71977035442</c:v>
                </c:pt>
                <c:pt idx="9">
                  <c:v>-93654.162603614444</c:v>
                </c:pt>
                <c:pt idx="10">
                  <c:v>-85865.33975607586</c:v>
                </c:pt>
                <c:pt idx="11">
                  <c:v>-77934.912286054358</c:v>
                </c:pt>
                <c:pt idx="12">
                  <c:v>-69868.405183186565</c:v>
                </c:pt>
                <c:pt idx="13">
                  <c:v>-61671.210246694762</c:v>
                </c:pt>
                <c:pt idx="14">
                  <c:v>-53348.588905785342</c:v>
                </c:pt>
                <c:pt idx="15">
                  <c:v>-44905.67498331808</c:v>
                </c:pt>
                <c:pt idx="16">
                  <c:v>-36355.505764711124</c:v>
                </c:pt>
                <c:pt idx="17">
                  <c:v>-27859.211508496675</c:v>
                </c:pt>
                <c:pt idx="18">
                  <c:v>-19417.364117081386</c:v>
                </c:pt>
                <c:pt idx="19">
                  <c:v>-11030.488073391414</c:v>
                </c:pt>
                <c:pt idx="20">
                  <c:v>-2699.0625091527654</c:v>
                </c:pt>
              </c:numCache>
            </c:numRef>
          </c:val>
          <c:smooth val="0"/>
          <c:extLst>
            <c:ext xmlns:c16="http://schemas.microsoft.com/office/drawing/2014/chart" uri="{C3380CC4-5D6E-409C-BE32-E72D297353CC}">
              <c16:uniqueId val="{00000001-184B-44DD-A9AF-8E8DC0FD41D5}"/>
            </c:ext>
          </c:extLst>
        </c:ser>
        <c:ser>
          <c:idx val="2"/>
          <c:order val="2"/>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[0]!NPV_1ep_change2</c:f>
              <c:numCache>
                <c:formatCode>#\ ##0_ ;\-#\ ##0\ </c:formatCode>
                <c:ptCount val="21"/>
                <c:pt idx="0">
                  <c:v>-156400</c:v>
                </c:pt>
                <c:pt idx="1">
                  <c:v>-150157.69230769231</c:v>
                </c:pt>
                <c:pt idx="2">
                  <c:v>-143399.70414201185</c:v>
                </c:pt>
                <c:pt idx="3">
                  <c:v>-136123.72695721439</c:v>
                </c:pt>
                <c:pt idx="4">
                  <c:v>-128327.26149732152</c:v>
                </c:pt>
                <c:pt idx="5">
                  <c:v>-120007.61694236846</c:v>
                </c:pt>
                <c:pt idx="6">
                  <c:v>-111161.90998412299</c:v>
                </c:pt>
                <c:pt idx="7">
                  <c:v>-101787.06383095976</c:v>
                </c:pt>
                <c:pt idx="8">
                  <c:v>-91879.807141548052</c:v>
                </c:pt>
                <c:pt idx="9">
                  <c:v>-81436.672886985078</c:v>
                </c:pt>
                <c:pt idx="10">
                  <c:v>-70453.997140980355</c:v>
                </c:pt>
                <c:pt idx="11">
                  <c:v>-58927.917797670532</c:v>
                </c:pt>
                <c:pt idx="12">
                  <c:v>-46854.373216616987</c:v>
                </c:pt>
                <c:pt idx="13">
                  <c:v>-34229.100794512284</c:v>
                </c:pt>
                <c:pt idx="14">
                  <c:v>-21176.224841524745</c:v>
                </c:pt>
                <c:pt idx="15">
                  <c:v>-7811.0308421878981</c:v>
                </c:pt>
                <c:pt idx="16">
                  <c:v>5870.1295812703738</c:v>
                </c:pt>
                <c:pt idx="17">
                  <c:v>19871.065649983339</c:v>
                </c:pt>
                <c:pt idx="18">
                  <c:v>34195.747033808126</c:v>
                </c:pt>
                <c:pt idx="19">
                  <c:v>48848.303583244589</c:v>
                </c:pt>
                <c:pt idx="20">
                  <c:v>63833.025185184684</c:v>
                </c:pt>
              </c:numCache>
            </c:numRef>
          </c:val>
          <c:smooth val="0"/>
          <c:extLst>
            <c:ext xmlns:c16="http://schemas.microsoft.com/office/drawing/2014/chart" uri="{C3380CC4-5D6E-409C-BE32-E72D297353CC}">
              <c16:uniqueId val="{00000002-184B-44DD-A9AF-8E8DC0FD41D5}"/>
            </c:ext>
          </c:extLst>
        </c:ser>
        <c:dLbls>
          <c:showLegendKey val="0"/>
          <c:showVal val="0"/>
          <c:showCatName val="0"/>
          <c:showSerName val="0"/>
          <c:showPercent val="0"/>
          <c:showBubbleSize val="0"/>
        </c:dLbls>
        <c:smooth val="0"/>
        <c:axId val="459246488"/>
        <c:axId val="459247664"/>
      </c:lineChart>
      <c:catAx>
        <c:axId val="45924648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734765942067598"/>
              <c:y val="0.540978706333037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spc="-100" baseline="0">
                <a:solidFill>
                  <a:schemeClr val="tx1">
                    <a:lumMod val="65000"/>
                    <a:lumOff val="35000"/>
                  </a:schemeClr>
                </a:solidFill>
                <a:latin typeface="+mn-lt"/>
                <a:ea typeface="+mn-ea"/>
                <a:cs typeface="+mn-cs"/>
              </a:defRPr>
            </a:pPr>
            <a:endParaRPr lang="en-US"/>
          </a:p>
        </c:txPr>
        <c:crossAx val="459247664"/>
        <c:crosses val="autoZero"/>
        <c:auto val="1"/>
        <c:lblAlgn val="ctr"/>
        <c:lblOffset val="100"/>
        <c:noMultiLvlLbl val="0"/>
      </c:catAx>
      <c:valAx>
        <c:axId val="459247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6488"/>
        <c:crosses val="autoZero"/>
        <c:crossBetween val="between"/>
      </c:valAx>
      <c:spPr>
        <a:noFill/>
        <a:ln>
          <a:noFill/>
        </a:ln>
        <a:effectLst/>
      </c:spPr>
    </c:plotArea>
    <c:legend>
      <c:legendPos val="b"/>
      <c:layout>
        <c:manualLayout>
          <c:xMode val="edge"/>
          <c:yMode val="edge"/>
          <c:x val="3.6248631172759033E-2"/>
          <c:y val="0.77971884264041103"/>
          <c:w val="0.91409918131094559"/>
          <c:h val="0.220281136186647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Net present value NPV 2</a:t>
            </a:r>
          </a:p>
        </c:rich>
      </c:tx>
      <c:layout>
        <c:manualLayout>
          <c:xMode val="edge"/>
          <c:yMode val="edge"/>
          <c:x val="0.30716577540106949"/>
          <c:y val="2.85132382892057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22872542001769"/>
          <c:y val="0.11633208781692513"/>
          <c:w val="0.78440350167709394"/>
          <c:h val="0.64805124783130919"/>
        </c:manualLayout>
      </c:layout>
      <c:lineChart>
        <c:grouping val="standard"/>
        <c:varyColors val="0"/>
        <c:ser>
          <c:idx val="0"/>
          <c:order val="0"/>
          <c:tx>
            <c:strRef>
              <c:f>'5. NPV'!$G$9</c:f>
              <c:strCache>
                <c:ptCount val="1"/>
                <c:pt idx="0">
                  <c:v>NPV_2</c:v>
                </c:pt>
              </c:strCache>
            </c:strRef>
          </c:tx>
          <c:spPr>
            <a:ln w="28575" cap="rnd">
              <a:solidFill>
                <a:srgbClr val="92D050"/>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c:f>
              <c:numCache>
                <c:formatCode>#\ ##0_ ;\-#\ ##0\ </c:formatCode>
                <c:ptCount val="21"/>
                <c:pt idx="0">
                  <c:v>-212500</c:v>
                </c:pt>
                <c:pt idx="1">
                  <c:v>-195336.53846153847</c:v>
                </c:pt>
                <c:pt idx="2">
                  <c:v>-178503.14349112427</c:v>
                </c:pt>
                <c:pt idx="3">
                  <c:v>-161993.4676547565</c:v>
                </c:pt>
                <c:pt idx="4">
                  <c:v>-145801.28558447273</c:v>
                </c:pt>
                <c:pt idx="5">
                  <c:v>-129920.49163092519</c:v>
                </c:pt>
                <c:pt idx="6">
                  <c:v>-114345.09756109971</c:v>
                </c:pt>
                <c:pt idx="7">
                  <c:v>-99069.23030030934</c:v>
                </c:pt>
                <c:pt idx="8">
                  <c:v>-84087.129717611097</c:v>
                </c:pt>
                <c:pt idx="9">
                  <c:v>-69393.146453810885</c:v>
                </c:pt>
                <c:pt idx="10">
                  <c:v>-54981.739791237604</c:v>
                </c:pt>
                <c:pt idx="11">
                  <c:v>-40847.475564483044</c:v>
                </c:pt>
                <c:pt idx="12">
                  <c:v>-27043.880768763604</c:v>
                </c:pt>
                <c:pt idx="13">
                  <c:v>-13771.19346518722</c:v>
                </c:pt>
                <c:pt idx="14">
                  <c:v>-1008.9941348253124</c:v>
                </c:pt>
                <c:pt idx="15">
                  <c:v>11262.351375138061</c:v>
                </c:pt>
                <c:pt idx="16">
                  <c:v>23061.722057795148</c:v>
                </c:pt>
                <c:pt idx="17">
                  <c:v>34407.27079111927</c:v>
                </c:pt>
                <c:pt idx="18">
                  <c:v>45316.452265469386</c:v>
                </c:pt>
                <c:pt idx="19">
                  <c:v>55806.049836959879</c:v>
                </c:pt>
                <c:pt idx="20">
                  <c:v>65892.201348008428</c:v>
                </c:pt>
              </c:numCache>
            </c:numRef>
          </c:val>
          <c:smooth val="0"/>
          <c:extLst>
            <c:ext xmlns:c16="http://schemas.microsoft.com/office/drawing/2014/chart" uri="{C3380CC4-5D6E-409C-BE32-E72D297353CC}">
              <c16:uniqueId val="{00000000-9CE6-4403-93A1-E21164718C19}"/>
            </c:ext>
          </c:extLst>
        </c:ser>
        <c:ser>
          <c:idx val="1"/>
          <c:order val="1"/>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c:f>
              <c:numCache>
                <c:formatCode>#\ ##0_ ;\-#\ ##0\ </c:formatCode>
                <c:ptCount val="21"/>
                <c:pt idx="0">
                  <c:v>-212500</c:v>
                </c:pt>
                <c:pt idx="1">
                  <c:v>-195336.53846153847</c:v>
                </c:pt>
                <c:pt idx="2">
                  <c:v>-177820.82100591715</c:v>
                </c:pt>
                <c:pt idx="3">
                  <c:v>-159966.18257851616</c:v>
                </c:pt>
                <c:pt idx="4">
                  <c:v>-141785.63859890893</c:v>
                </c:pt>
                <c:pt idx="5">
                  <c:v>-123291.89171217155</c:v>
                </c:pt>
                <c:pt idx="6">
                  <c:v>-104497.33840452664</c:v>
                </c:pt>
                <c:pt idx="7">
                  <c:v>-85414.075485986847</c:v>
                </c:pt>
                <c:pt idx="8">
                  <c:v>-66053.906442611187</c:v>
                </c:pt>
                <c:pt idx="9">
                  <c:v>-46428.34766093683</c:v>
                </c:pt>
                <c:pt idx="10">
                  <c:v>-26548.634527098751</c:v>
                </c:pt>
                <c:pt idx="11">
                  <c:v>-6697.2184965246888</c:v>
                </c:pt>
                <c:pt idx="12">
                  <c:v>13010.163312473891</c:v>
                </c:pt>
                <c:pt idx="13">
                  <c:v>32573.094122076818</c:v>
                </c:pt>
                <c:pt idx="14">
                  <c:v>51991.230458952894</c:v>
                </c:pt>
                <c:pt idx="15">
                  <c:v>71264.298784139435</c:v>
                </c:pt>
                <c:pt idx="16">
                  <c:v>90392.092257837154</c:v>
                </c:pt>
                <c:pt idx="17">
                  <c:v>109374.4676338805</c:v>
                </c:pt>
                <c:pt idx="18">
                  <c:v>128211.34227884543</c:v>
                </c:pt>
                <c:pt idx="19">
                  <c:v>146902.69131095093</c:v>
                </c:pt>
                <c:pt idx="20">
                  <c:v>165448.54485409745</c:v>
                </c:pt>
              </c:numCache>
            </c:numRef>
          </c:val>
          <c:smooth val="0"/>
          <c:extLst>
            <c:ext xmlns:c16="http://schemas.microsoft.com/office/drawing/2014/chart" uri="{C3380CC4-5D6E-409C-BE32-E72D297353CC}">
              <c16:uniqueId val="{00000001-9CE6-4403-93A1-E21164718C19}"/>
            </c:ext>
          </c:extLst>
        </c:ser>
        <c:ser>
          <c:idx val="2"/>
          <c:order val="2"/>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[0]!NPV_2ep_change2</c:f>
              <c:numCache>
                <c:formatCode>#\ ##0_ ;\-#\ ##0\ </c:formatCode>
                <c:ptCount val="21"/>
                <c:pt idx="0">
                  <c:v>-212500</c:v>
                </c:pt>
                <c:pt idx="1">
                  <c:v>-195336.53846153847</c:v>
                </c:pt>
                <c:pt idx="2">
                  <c:v>-177138.49852071007</c:v>
                </c:pt>
                <c:pt idx="3">
                  <c:v>-157899.5327435139</c:v>
                </c:pt>
                <c:pt idx="4">
                  <c:v>-137612.91108559314</c:v>
                </c:pt>
                <c:pt idx="5">
                  <c:v>-116271.51854481125</c:v>
                </c:pt>
                <c:pt idx="6">
                  <c:v>-93867.852672330249</c:v>
                </c:pt>
                <c:pt idx="7">
                  <c:v>-70394.020941322902</c:v>
                </c:pt>
                <c:pt idx="8">
                  <c:v>-45841.737972398536</c:v>
                </c:pt>
                <c:pt idx="9">
                  <c:v>-20202.322614769033</c:v>
                </c:pt>
                <c:pt idx="10">
                  <c:v>6186.0126008747793</c:v>
                </c:pt>
                <c:pt idx="11">
                  <c:v>33179.25294116931</c:v>
                </c:pt>
                <c:pt idx="12">
                  <c:v>60785.28361467574</c:v>
                </c:pt>
                <c:pt idx="13">
                  <c:v>89012.2856063621</c:v>
                </c:pt>
                <c:pt idx="14">
                  <c:v>117868.73582185032</c:v>
                </c:pt>
                <c:pt idx="15">
                  <c:v>147363.40744765877</c:v>
                </c:pt>
                <c:pt idx="16">
                  <c:v>177505.37052339333</c:v>
                </c:pt>
                <c:pt idx="17">
                  <c:v>208303.99272207747</c:v>
                </c:pt>
                <c:pt idx="18">
                  <c:v>239768.94033504184</c:v>
                </c:pt>
                <c:pt idx="19">
                  <c:v>271910.17945801676</c:v>
                </c:pt>
                <c:pt idx="20">
                  <c:v>304737.97737528681</c:v>
                </c:pt>
              </c:numCache>
            </c:numRef>
          </c:val>
          <c:smooth val="0"/>
          <c:extLst>
            <c:ext xmlns:c16="http://schemas.microsoft.com/office/drawing/2014/chart" uri="{C3380CC4-5D6E-409C-BE32-E72D297353CC}">
              <c16:uniqueId val="{00000002-9CE6-4403-93A1-E21164718C19}"/>
            </c:ext>
          </c:extLst>
        </c:ser>
        <c:dLbls>
          <c:showLegendKey val="0"/>
          <c:showVal val="0"/>
          <c:showCatName val="0"/>
          <c:showSerName val="0"/>
          <c:showPercent val="0"/>
          <c:showBubbleSize val="0"/>
        </c:dLbls>
        <c:smooth val="0"/>
        <c:axId val="459244528"/>
        <c:axId val="459250408"/>
      </c:lineChart>
      <c:catAx>
        <c:axId val="45924452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445012726883458"/>
              <c:y val="0.598269059242138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50408"/>
        <c:crosses val="autoZero"/>
        <c:auto val="1"/>
        <c:lblAlgn val="ctr"/>
        <c:lblOffset val="100"/>
        <c:noMultiLvlLbl val="0"/>
      </c:catAx>
      <c:valAx>
        <c:axId val="459250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4528"/>
        <c:crosses val="autoZero"/>
        <c:crossBetween val="between"/>
      </c:valAx>
      <c:spPr>
        <a:noFill/>
        <a:ln>
          <a:noFill/>
        </a:ln>
        <a:effectLst/>
      </c:spPr>
    </c:plotArea>
    <c:legend>
      <c:legendPos val="b"/>
      <c:layout>
        <c:manualLayout>
          <c:xMode val="edge"/>
          <c:yMode val="edge"/>
          <c:x val="0"/>
          <c:y val="0.77366502068597354"/>
          <c:w val="0.99912395056578196"/>
          <c:h val="0.224168156946483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present value,</a:t>
            </a:r>
            <a:r>
              <a:rPr lang="en-US" baseline="0"/>
              <a:t> </a:t>
            </a:r>
            <a:r>
              <a:rPr lang="en-US"/>
              <a:t>Both measures</a:t>
            </a:r>
          </a:p>
        </c:rich>
      </c:tx>
      <c:layout>
        <c:manualLayout>
          <c:xMode val="edge"/>
          <c:yMode val="edge"/>
          <c:x val="0.32009887021914341"/>
          <c:y val="1.91387559808612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381121228370973"/>
          <c:y val="0.12833910034602075"/>
          <c:w val="0.76271054037828256"/>
          <c:h val="0.55072419148298501"/>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c:f>
              <c:numCache>
                <c:formatCode>#\ ##0_ ;\-#\ ##0\ </c:formatCode>
                <c:ptCount val="21"/>
                <c:pt idx="0">
                  <c:v>-156400</c:v>
                </c:pt>
                <c:pt idx="1">
                  <c:v>-150157.69230769231</c:v>
                </c:pt>
                <c:pt idx="2">
                  <c:v>-144035.42899408285</c:v>
                </c:pt>
                <c:pt idx="3">
                  <c:v>-138030.90151342741</c:v>
                </c:pt>
                <c:pt idx="4">
                  <c:v>-132141.84571509226</c:v>
                </c:pt>
                <c:pt idx="5">
                  <c:v>-126366.04098980203</c:v>
                </c:pt>
                <c:pt idx="6">
                  <c:v>-120701.30943230583</c:v>
                </c:pt>
                <c:pt idx="7">
                  <c:v>-115145.51502014611</c:v>
                </c:pt>
                <c:pt idx="8">
                  <c:v>-109696.56280822022</c:v>
                </c:pt>
                <c:pt idx="9">
                  <c:v>-104352.39813883137</c:v>
                </c:pt>
                <c:pt idx="10">
                  <c:v>-99111.005866930762</c:v>
                </c:pt>
                <c:pt idx="11">
                  <c:v>-93970.409600259023</c:v>
                </c:pt>
                <c:pt idx="12">
                  <c:v>-88928.670954100206</c:v>
                </c:pt>
                <c:pt idx="13">
                  <c:v>-83983.888820367516</c:v>
                </c:pt>
                <c:pt idx="14">
                  <c:v>-79134.198650745064</c:v>
                </c:pt>
                <c:pt idx="15">
                  <c:v>-74377.77175361535</c:v>
                </c:pt>
                <c:pt idx="16">
                  <c:v>-69712.814604507366</c:v>
                </c:pt>
                <c:pt idx="17">
                  <c:v>-65137.568169805309</c:v>
                </c:pt>
                <c:pt idx="18">
                  <c:v>-60650.307243462899</c:v>
                </c:pt>
                <c:pt idx="19">
                  <c:v>-56249.339796473228</c:v>
                </c:pt>
                <c:pt idx="20">
                  <c:v>-51933.006338848747</c:v>
                </c:pt>
              </c:numCache>
            </c:numRef>
          </c:val>
          <c:smooth val="0"/>
          <c:extLst>
            <c:ext xmlns:c16="http://schemas.microsoft.com/office/drawing/2014/chart" uri="{C3380CC4-5D6E-409C-BE32-E72D297353CC}">
              <c16:uniqueId val="{00000000-AB6F-44A6-A0C4-5DC87949DEB8}"/>
            </c:ext>
          </c:extLst>
        </c:ser>
        <c:ser>
          <c:idx val="1"/>
          <c:order val="1"/>
          <c:tx>
            <c:strRef>
              <c:f>'5. NPV'!$G$9</c:f>
              <c:strCache>
                <c:ptCount val="1"/>
                <c:pt idx="0">
                  <c:v>NPV_2</c:v>
                </c:pt>
              </c:strCache>
            </c:strRef>
          </c:tx>
          <c:spPr>
            <a:ln w="28575" cap="rnd">
              <a:solidFill>
                <a:srgbClr val="92D050"/>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c:f>
              <c:numCache>
                <c:formatCode>#\ ##0_ ;\-#\ ##0\ </c:formatCode>
                <c:ptCount val="21"/>
                <c:pt idx="0">
                  <c:v>-212500</c:v>
                </c:pt>
                <c:pt idx="1">
                  <c:v>-195336.53846153847</c:v>
                </c:pt>
                <c:pt idx="2">
                  <c:v>-178503.14349112427</c:v>
                </c:pt>
                <c:pt idx="3">
                  <c:v>-161993.4676547565</c:v>
                </c:pt>
                <c:pt idx="4">
                  <c:v>-145801.28558447273</c:v>
                </c:pt>
                <c:pt idx="5">
                  <c:v>-129920.49163092519</c:v>
                </c:pt>
                <c:pt idx="6">
                  <c:v>-114345.09756109971</c:v>
                </c:pt>
                <c:pt idx="7">
                  <c:v>-99069.23030030934</c:v>
                </c:pt>
                <c:pt idx="8">
                  <c:v>-84087.129717611097</c:v>
                </c:pt>
                <c:pt idx="9">
                  <c:v>-69393.146453810885</c:v>
                </c:pt>
                <c:pt idx="10">
                  <c:v>-54981.739791237604</c:v>
                </c:pt>
                <c:pt idx="11">
                  <c:v>-40847.475564483044</c:v>
                </c:pt>
                <c:pt idx="12">
                  <c:v>-27043.880768763604</c:v>
                </c:pt>
                <c:pt idx="13">
                  <c:v>-13771.19346518722</c:v>
                </c:pt>
                <c:pt idx="14">
                  <c:v>-1008.9941348253124</c:v>
                </c:pt>
                <c:pt idx="15">
                  <c:v>11262.351375138061</c:v>
                </c:pt>
                <c:pt idx="16">
                  <c:v>23061.722057795148</c:v>
                </c:pt>
                <c:pt idx="17">
                  <c:v>34407.27079111927</c:v>
                </c:pt>
                <c:pt idx="18">
                  <c:v>45316.452265469386</c:v>
                </c:pt>
                <c:pt idx="19">
                  <c:v>55806.049836959879</c:v>
                </c:pt>
                <c:pt idx="20">
                  <c:v>65892.201348008428</c:v>
                </c:pt>
              </c:numCache>
            </c:numRef>
          </c:val>
          <c:smooth val="0"/>
          <c:extLst>
            <c:ext xmlns:c16="http://schemas.microsoft.com/office/drawing/2014/chart" uri="{C3380CC4-5D6E-409C-BE32-E72D297353CC}">
              <c16:uniqueId val="{00000001-AB6F-44A6-A0C4-5DC87949DEB8}"/>
            </c:ext>
          </c:extLst>
        </c:ser>
        <c:ser>
          <c:idx val="2"/>
          <c:order val="2"/>
          <c:tx>
            <c:strRef>
              <c:f>'5. NPV'!$H$9</c:f>
              <c:strCache>
                <c:ptCount val="1"/>
                <c:pt idx="0">
                  <c:v>NPV_1 Option 1. Energy/water prices change</c:v>
                </c:pt>
              </c:strCache>
            </c:strRef>
          </c:tx>
          <c:spPr>
            <a:ln w="28575" cap="rnd">
              <a:solidFill>
                <a:srgbClr val="7030A0"/>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c:f>
              <c:numCache>
                <c:formatCode>#\ ##0_ ;\-#\ ##0\ </c:formatCode>
                <c:ptCount val="21"/>
                <c:pt idx="0">
                  <c:v>-156400</c:v>
                </c:pt>
                <c:pt idx="1">
                  <c:v>-150157.69230769231</c:v>
                </c:pt>
                <c:pt idx="2">
                  <c:v>-143717.56656804733</c:v>
                </c:pt>
                <c:pt idx="3">
                  <c:v>-137086.48334376421</c:v>
                </c:pt>
                <c:pt idx="4">
                  <c:v>-130271.14187547594</c:v>
                </c:pt>
                <c:pt idx="5">
                  <c:v>-123278.08346667532</c:v>
                </c:pt>
                <c:pt idx="6">
                  <c:v>-116113.69480082911</c:v>
                </c:pt>
                <c:pt idx="7">
                  <c:v>-108784.21119201051</c:v>
                </c:pt>
                <c:pt idx="8">
                  <c:v>-101295.71977035442</c:v>
                </c:pt>
                <c:pt idx="9">
                  <c:v>-93654.162603614444</c:v>
                </c:pt>
                <c:pt idx="10">
                  <c:v>-85865.33975607586</c:v>
                </c:pt>
                <c:pt idx="11">
                  <c:v>-77934.912286054358</c:v>
                </c:pt>
                <c:pt idx="12">
                  <c:v>-69868.405183186565</c:v>
                </c:pt>
                <c:pt idx="13">
                  <c:v>-61671.210246694762</c:v>
                </c:pt>
                <c:pt idx="14">
                  <c:v>-53348.588905785342</c:v>
                </c:pt>
                <c:pt idx="15">
                  <c:v>-44905.67498331808</c:v>
                </c:pt>
                <c:pt idx="16">
                  <c:v>-36355.505764711124</c:v>
                </c:pt>
                <c:pt idx="17">
                  <c:v>-27859.211508496675</c:v>
                </c:pt>
                <c:pt idx="18">
                  <c:v>-19417.364117081386</c:v>
                </c:pt>
                <c:pt idx="19">
                  <c:v>-11030.488073391414</c:v>
                </c:pt>
                <c:pt idx="20">
                  <c:v>-2699.0625091527654</c:v>
                </c:pt>
              </c:numCache>
            </c:numRef>
          </c:val>
          <c:smooth val="0"/>
          <c:extLst>
            <c:ext xmlns:c16="http://schemas.microsoft.com/office/drawing/2014/chart" uri="{C3380CC4-5D6E-409C-BE32-E72D297353CC}">
              <c16:uniqueId val="{00000002-AB6F-44A6-A0C4-5DC87949DEB8}"/>
            </c:ext>
          </c:extLst>
        </c:ser>
        <c:ser>
          <c:idx val="3"/>
          <c:order val="3"/>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c:f>
              <c:numCache>
                <c:formatCode>#\ ##0_ ;\-#\ ##0\ </c:formatCode>
                <c:ptCount val="21"/>
                <c:pt idx="0">
                  <c:v>-212500</c:v>
                </c:pt>
                <c:pt idx="1">
                  <c:v>-195336.53846153847</c:v>
                </c:pt>
                <c:pt idx="2">
                  <c:v>-177820.82100591715</c:v>
                </c:pt>
                <c:pt idx="3">
                  <c:v>-159966.18257851616</c:v>
                </c:pt>
                <c:pt idx="4">
                  <c:v>-141785.63859890893</c:v>
                </c:pt>
                <c:pt idx="5">
                  <c:v>-123291.89171217155</c:v>
                </c:pt>
                <c:pt idx="6">
                  <c:v>-104497.33840452664</c:v>
                </c:pt>
                <c:pt idx="7">
                  <c:v>-85414.075485986847</c:v>
                </c:pt>
                <c:pt idx="8">
                  <c:v>-66053.906442611187</c:v>
                </c:pt>
                <c:pt idx="9">
                  <c:v>-46428.34766093683</c:v>
                </c:pt>
                <c:pt idx="10">
                  <c:v>-26548.634527098751</c:v>
                </c:pt>
                <c:pt idx="11">
                  <c:v>-6697.2184965246888</c:v>
                </c:pt>
                <c:pt idx="12">
                  <c:v>13010.163312473891</c:v>
                </c:pt>
                <c:pt idx="13">
                  <c:v>32573.094122076818</c:v>
                </c:pt>
                <c:pt idx="14">
                  <c:v>51991.230458952894</c:v>
                </c:pt>
                <c:pt idx="15">
                  <c:v>71264.298784139435</c:v>
                </c:pt>
                <c:pt idx="16">
                  <c:v>90392.092257837154</c:v>
                </c:pt>
                <c:pt idx="17">
                  <c:v>109374.4676338805</c:v>
                </c:pt>
                <c:pt idx="18">
                  <c:v>128211.34227884543</c:v>
                </c:pt>
                <c:pt idx="19">
                  <c:v>146902.69131095093</c:v>
                </c:pt>
                <c:pt idx="20">
                  <c:v>165448.54485409745</c:v>
                </c:pt>
              </c:numCache>
            </c:numRef>
          </c:val>
          <c:smooth val="0"/>
          <c:extLst>
            <c:ext xmlns:c16="http://schemas.microsoft.com/office/drawing/2014/chart" uri="{C3380CC4-5D6E-409C-BE32-E72D297353CC}">
              <c16:uniqueId val="{00000003-AB6F-44A6-A0C4-5DC87949DEB8}"/>
            </c:ext>
          </c:extLst>
        </c:ser>
        <c:ser>
          <c:idx val="4"/>
          <c:order val="4"/>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[0]!NPV_1ep_change2</c:f>
              <c:numCache>
                <c:formatCode>#\ ##0_ ;\-#\ ##0\ </c:formatCode>
                <c:ptCount val="21"/>
                <c:pt idx="0">
                  <c:v>-156400</c:v>
                </c:pt>
                <c:pt idx="1">
                  <c:v>-150157.69230769231</c:v>
                </c:pt>
                <c:pt idx="2">
                  <c:v>-143399.70414201185</c:v>
                </c:pt>
                <c:pt idx="3">
                  <c:v>-136123.72695721439</c:v>
                </c:pt>
                <c:pt idx="4">
                  <c:v>-128327.26149732152</c:v>
                </c:pt>
                <c:pt idx="5">
                  <c:v>-120007.61694236846</c:v>
                </c:pt>
                <c:pt idx="6">
                  <c:v>-111161.90998412299</c:v>
                </c:pt>
                <c:pt idx="7">
                  <c:v>-101787.06383095976</c:v>
                </c:pt>
                <c:pt idx="8">
                  <c:v>-91879.807141548052</c:v>
                </c:pt>
                <c:pt idx="9">
                  <c:v>-81436.672886985078</c:v>
                </c:pt>
                <c:pt idx="10">
                  <c:v>-70453.997140980355</c:v>
                </c:pt>
                <c:pt idx="11">
                  <c:v>-58927.917797670532</c:v>
                </c:pt>
                <c:pt idx="12">
                  <c:v>-46854.373216616987</c:v>
                </c:pt>
                <c:pt idx="13">
                  <c:v>-34229.100794512284</c:v>
                </c:pt>
                <c:pt idx="14">
                  <c:v>-21176.224841524745</c:v>
                </c:pt>
                <c:pt idx="15">
                  <c:v>-7811.0308421878981</c:v>
                </c:pt>
                <c:pt idx="16">
                  <c:v>5870.1295812703738</c:v>
                </c:pt>
                <c:pt idx="17">
                  <c:v>19871.065649983339</c:v>
                </c:pt>
                <c:pt idx="18">
                  <c:v>34195.747033808126</c:v>
                </c:pt>
                <c:pt idx="19">
                  <c:v>48848.303583244589</c:v>
                </c:pt>
                <c:pt idx="20">
                  <c:v>63833.025185184684</c:v>
                </c:pt>
              </c:numCache>
            </c:numRef>
          </c:val>
          <c:smooth val="0"/>
          <c:extLst>
            <c:ext xmlns:c16="http://schemas.microsoft.com/office/drawing/2014/chart" uri="{C3380CC4-5D6E-409C-BE32-E72D297353CC}">
              <c16:uniqueId val="{00000004-AB6F-44A6-A0C4-5DC87949DEB8}"/>
            </c:ext>
          </c:extLst>
        </c:ser>
        <c:ser>
          <c:idx val="5"/>
          <c:order val="5"/>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[0]!NPV_2ep_change2</c:f>
              <c:numCache>
                <c:formatCode>#\ ##0_ ;\-#\ ##0\ </c:formatCode>
                <c:ptCount val="21"/>
                <c:pt idx="0">
                  <c:v>-212500</c:v>
                </c:pt>
                <c:pt idx="1">
                  <c:v>-195336.53846153847</c:v>
                </c:pt>
                <c:pt idx="2">
                  <c:v>-177138.49852071007</c:v>
                </c:pt>
                <c:pt idx="3">
                  <c:v>-157899.5327435139</c:v>
                </c:pt>
                <c:pt idx="4">
                  <c:v>-137612.91108559314</c:v>
                </c:pt>
                <c:pt idx="5">
                  <c:v>-116271.51854481125</c:v>
                </c:pt>
                <c:pt idx="6">
                  <c:v>-93867.852672330249</c:v>
                </c:pt>
                <c:pt idx="7">
                  <c:v>-70394.020941322902</c:v>
                </c:pt>
                <c:pt idx="8">
                  <c:v>-45841.737972398536</c:v>
                </c:pt>
                <c:pt idx="9">
                  <c:v>-20202.322614769033</c:v>
                </c:pt>
                <c:pt idx="10">
                  <c:v>6186.0126008747793</c:v>
                </c:pt>
                <c:pt idx="11">
                  <c:v>33179.25294116931</c:v>
                </c:pt>
                <c:pt idx="12">
                  <c:v>60785.28361467574</c:v>
                </c:pt>
                <c:pt idx="13">
                  <c:v>89012.2856063621</c:v>
                </c:pt>
                <c:pt idx="14">
                  <c:v>117868.73582185032</c:v>
                </c:pt>
                <c:pt idx="15">
                  <c:v>147363.40744765877</c:v>
                </c:pt>
                <c:pt idx="16">
                  <c:v>177505.37052339333</c:v>
                </c:pt>
                <c:pt idx="17">
                  <c:v>208303.99272207747</c:v>
                </c:pt>
                <c:pt idx="18">
                  <c:v>239768.94033504184</c:v>
                </c:pt>
                <c:pt idx="19">
                  <c:v>271910.17945801676</c:v>
                </c:pt>
                <c:pt idx="20">
                  <c:v>304737.97737528681</c:v>
                </c:pt>
              </c:numCache>
            </c:numRef>
          </c:val>
          <c:smooth val="0"/>
          <c:extLst>
            <c:ext xmlns:c16="http://schemas.microsoft.com/office/drawing/2014/chart" uri="{C3380CC4-5D6E-409C-BE32-E72D297353CC}">
              <c16:uniqueId val="{00000005-AB6F-44A6-A0C4-5DC87949DEB8}"/>
            </c:ext>
          </c:extLst>
        </c:ser>
        <c:dLbls>
          <c:showLegendKey val="0"/>
          <c:showVal val="0"/>
          <c:showCatName val="0"/>
          <c:showSerName val="0"/>
          <c:showPercent val="0"/>
          <c:showBubbleSize val="0"/>
        </c:dLbls>
        <c:smooth val="0"/>
        <c:axId val="459243744"/>
        <c:axId val="459246880"/>
      </c:lineChart>
      <c:catAx>
        <c:axId val="45924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6880"/>
        <c:crosses val="autoZero"/>
        <c:auto val="1"/>
        <c:lblAlgn val="ctr"/>
        <c:lblOffset val="100"/>
        <c:noMultiLvlLbl val="0"/>
      </c:catAx>
      <c:valAx>
        <c:axId val="459246880"/>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3744"/>
        <c:crosses val="autoZero"/>
        <c:crossBetween val="between"/>
      </c:valAx>
      <c:spPr>
        <a:noFill/>
        <a:ln>
          <a:noFill/>
        </a:ln>
        <a:effectLst/>
      </c:spPr>
    </c:plotArea>
    <c:legend>
      <c:legendPos val="b"/>
      <c:layout>
        <c:manualLayout>
          <c:xMode val="edge"/>
          <c:yMode val="edge"/>
          <c:x val="1.3249505695588163E-2"/>
          <c:y val="0.67183651568107716"/>
          <c:w val="0.96559554150336391"/>
          <c:h val="0.309544404306725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Payback period 1</a:t>
            </a:r>
          </a:p>
        </c:rich>
      </c:tx>
      <c:layout>
        <c:manualLayout>
          <c:xMode val="edge"/>
          <c:yMode val="edge"/>
          <c:x val="0.35884011073958222"/>
          <c:y val="2.42690979417046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740157480314962"/>
          <c:y val="0.12169575941561522"/>
          <c:w val="0.76623665192535872"/>
          <c:h val="0.46303587051618539"/>
        </c:manualLayout>
      </c:layout>
      <c:lineChart>
        <c:grouping val="standard"/>
        <c:varyColors val="0"/>
        <c:ser>
          <c:idx val="1"/>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[0]!Payback_1_invest</c:f>
              <c:numCache>
                <c:formatCode>#\ ##0_ ;\-#\ ##0\ </c:formatCode>
                <c:ptCount val="21"/>
                <c:pt idx="0">
                  <c:v>156400</c:v>
                </c:pt>
                <c:pt idx="1">
                  <c:v>156400</c:v>
                </c:pt>
                <c:pt idx="2">
                  <c:v>156400</c:v>
                </c:pt>
                <c:pt idx="3">
                  <c:v>156400</c:v>
                </c:pt>
                <c:pt idx="4">
                  <c:v>156400</c:v>
                </c:pt>
                <c:pt idx="5">
                  <c:v>156400</c:v>
                </c:pt>
                <c:pt idx="6">
                  <c:v>156400</c:v>
                </c:pt>
                <c:pt idx="7">
                  <c:v>156400</c:v>
                </c:pt>
                <c:pt idx="8">
                  <c:v>156400</c:v>
                </c:pt>
                <c:pt idx="9">
                  <c:v>156400</c:v>
                </c:pt>
                <c:pt idx="10">
                  <c:v>156400</c:v>
                </c:pt>
                <c:pt idx="11">
                  <c:v>156400</c:v>
                </c:pt>
                <c:pt idx="12">
                  <c:v>156400</c:v>
                </c:pt>
                <c:pt idx="13">
                  <c:v>156400</c:v>
                </c:pt>
                <c:pt idx="14">
                  <c:v>156400</c:v>
                </c:pt>
                <c:pt idx="15">
                  <c:v>156400</c:v>
                </c:pt>
                <c:pt idx="16">
                  <c:v>156400</c:v>
                </c:pt>
                <c:pt idx="17">
                  <c:v>156400</c:v>
                </c:pt>
                <c:pt idx="18">
                  <c:v>156400</c:v>
                </c:pt>
                <c:pt idx="19">
                  <c:v>156400</c:v>
                </c:pt>
                <c:pt idx="20">
                  <c:v>156400</c:v>
                </c:pt>
              </c:numCache>
            </c:numRef>
          </c:val>
          <c:smooth val="0"/>
          <c:extLst>
            <c:ext xmlns:c16="http://schemas.microsoft.com/office/drawing/2014/chart" uri="{C3380CC4-5D6E-409C-BE32-E72D297353CC}">
              <c16:uniqueId val="{00000000-3356-4565-B67D-A77210B89813}"/>
            </c:ext>
          </c:extLst>
        </c:ser>
        <c:ser>
          <c:idx val="0"/>
          <c:order val="1"/>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c:f>
              <c:numCache>
                <c:formatCode>#\ ##0_ ;\-#\ ##0\ </c:formatCode>
                <c:ptCount val="21"/>
                <c:pt idx="0">
                  <c:v>0</c:v>
                </c:pt>
                <c:pt idx="1">
                  <c:v>11460</c:v>
                </c:pt>
                <c:pt idx="2">
                  <c:v>22920</c:v>
                </c:pt>
                <c:pt idx="3">
                  <c:v>34380</c:v>
                </c:pt>
                <c:pt idx="4">
                  <c:v>45840</c:v>
                </c:pt>
                <c:pt idx="5">
                  <c:v>57300</c:v>
                </c:pt>
                <c:pt idx="6">
                  <c:v>68760</c:v>
                </c:pt>
                <c:pt idx="7">
                  <c:v>80220</c:v>
                </c:pt>
                <c:pt idx="8">
                  <c:v>91680</c:v>
                </c:pt>
                <c:pt idx="9">
                  <c:v>103140</c:v>
                </c:pt>
                <c:pt idx="10">
                  <c:v>114600</c:v>
                </c:pt>
                <c:pt idx="11">
                  <c:v>126060</c:v>
                </c:pt>
                <c:pt idx="12">
                  <c:v>137520</c:v>
                </c:pt>
                <c:pt idx="13">
                  <c:v>148980</c:v>
                </c:pt>
                <c:pt idx="14">
                  <c:v>160440</c:v>
                </c:pt>
                <c:pt idx="15">
                  <c:v>171900</c:v>
                </c:pt>
                <c:pt idx="16">
                  <c:v>183360</c:v>
                </c:pt>
                <c:pt idx="17">
                  <c:v>194820</c:v>
                </c:pt>
                <c:pt idx="18">
                  <c:v>206280</c:v>
                </c:pt>
                <c:pt idx="19">
                  <c:v>217740</c:v>
                </c:pt>
                <c:pt idx="20">
                  <c:v>229200</c:v>
                </c:pt>
              </c:numCache>
            </c:numRef>
          </c:val>
          <c:smooth val="0"/>
          <c:extLst>
            <c:ext xmlns:c16="http://schemas.microsoft.com/office/drawing/2014/chart" uri="{C3380CC4-5D6E-409C-BE32-E72D297353CC}">
              <c16:uniqueId val="{00000001-3356-4565-B67D-A77210B89813}"/>
            </c:ext>
          </c:extLst>
        </c:ser>
        <c:ser>
          <c:idx val="4"/>
          <c:order val="2"/>
          <c:tx>
            <c:strRef>
              <c:f>'6. Pay back time'!$J$9:$J$10</c:f>
              <c:strCache>
                <c:ptCount val="2"/>
                <c:pt idx="0">
                  <c:v>Payback_1 Decrease energy/water costs (€)</c:v>
                </c:pt>
                <c:pt idx="1">
                  <c:v>Option 1. Energy/water prices change</c:v>
                </c:pt>
              </c:strCache>
            </c:strRef>
          </c:tx>
          <c:spPr>
            <a:ln w="28575" cap="rnd">
              <a:solidFill>
                <a:srgbClr val="7030A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c:f>
              <c:numCache>
                <c:formatCode>#\ ##0_ ;\-#\ ##0\ </c:formatCode>
                <c:ptCount val="21"/>
                <c:pt idx="0">
                  <c:v>0</c:v>
                </c:pt>
                <c:pt idx="1">
                  <c:v>11460</c:v>
                </c:pt>
                <c:pt idx="2">
                  <c:v>23263.8</c:v>
                </c:pt>
                <c:pt idx="3">
                  <c:v>35421.714</c:v>
                </c:pt>
                <c:pt idx="4">
                  <c:v>47944.365420000002</c:v>
                </c:pt>
                <c:pt idx="5">
                  <c:v>60842.696382600006</c:v>
                </c:pt>
                <c:pt idx="6">
                  <c:v>74127.977274078003</c:v>
                </c:pt>
                <c:pt idx="7">
                  <c:v>87811.81659230034</c:v>
                </c:pt>
                <c:pt idx="8">
                  <c:v>101906.17109006936</c:v>
                </c:pt>
                <c:pt idx="9">
                  <c:v>116423.35622277144</c:v>
                </c:pt>
                <c:pt idx="10">
                  <c:v>131376.05690945458</c:v>
                </c:pt>
                <c:pt idx="11">
                  <c:v>146777.33861673821</c:v>
                </c:pt>
                <c:pt idx="12">
                  <c:v>162640.65877524036</c:v>
                </c:pt>
                <c:pt idx="13">
                  <c:v>178979.87853849758</c:v>
                </c:pt>
                <c:pt idx="14">
                  <c:v>195809.27489465251</c:v>
                </c:pt>
                <c:pt idx="15">
                  <c:v>213143.5531414921</c:v>
                </c:pt>
                <c:pt idx="16">
                  <c:v>230997.85973573686</c:v>
                </c:pt>
                <c:pt idx="17">
                  <c:v>249387.79552780898</c:v>
                </c:pt>
                <c:pt idx="18">
                  <c:v>268329.42939364328</c:v>
                </c:pt>
                <c:pt idx="19">
                  <c:v>287839.3122754526</c:v>
                </c:pt>
                <c:pt idx="20">
                  <c:v>307934.49164371617</c:v>
                </c:pt>
              </c:numCache>
            </c:numRef>
          </c:val>
          <c:smooth val="0"/>
          <c:extLst>
            <c:ext xmlns:c16="http://schemas.microsoft.com/office/drawing/2014/chart" uri="{C3380CC4-5D6E-409C-BE32-E72D297353CC}">
              <c16:uniqueId val="{00000002-3356-4565-B67D-A77210B89813}"/>
            </c:ext>
          </c:extLst>
        </c:ser>
        <c:ser>
          <c:idx val="2"/>
          <c:order val="3"/>
          <c:tx>
            <c:strRef>
              <c:f>'6. Pay back time'!$L$9:$L$10</c:f>
              <c:strCache>
                <c:ptCount val="2"/>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[0]!Payback_1ep_change2</c:f>
              <c:numCache>
                <c:formatCode>#\ ##0_ ;\-#\ ##0\ </c:formatCode>
                <c:ptCount val="21"/>
                <c:pt idx="0">
                  <c:v>0</c:v>
                </c:pt>
                <c:pt idx="1">
                  <c:v>11460</c:v>
                </c:pt>
                <c:pt idx="2">
                  <c:v>23607.599999999999</c:v>
                </c:pt>
                <c:pt idx="3">
                  <c:v>36484.055999999997</c:v>
                </c:pt>
                <c:pt idx="4">
                  <c:v>50133.09936</c:v>
                </c:pt>
                <c:pt idx="5">
                  <c:v>64601.085321600003</c:v>
                </c:pt>
                <c:pt idx="6">
                  <c:v>79937.150440896003</c:v>
                </c:pt>
                <c:pt idx="7">
                  <c:v>96193.379467349761</c:v>
                </c:pt>
                <c:pt idx="8">
                  <c:v>113424.98223539075</c:v>
                </c:pt>
                <c:pt idx="9">
                  <c:v>131690.48116951418</c:v>
                </c:pt>
                <c:pt idx="10">
                  <c:v>151051.91003968503</c:v>
                </c:pt>
                <c:pt idx="11">
                  <c:v>171575.02464206613</c:v>
                </c:pt>
                <c:pt idx="12">
                  <c:v>193329.5261205901</c:v>
                </c:pt>
                <c:pt idx="13">
                  <c:v>216389.29768782551</c:v>
                </c:pt>
                <c:pt idx="14">
                  <c:v>240832.65554909504</c:v>
                </c:pt>
                <c:pt idx="15">
                  <c:v>266742.61488204077</c:v>
                </c:pt>
                <c:pt idx="16">
                  <c:v>294207.17177496321</c:v>
                </c:pt>
                <c:pt idx="17">
                  <c:v>323319.60208146099</c:v>
                </c:pt>
                <c:pt idx="18">
                  <c:v>354178.77820634865</c:v>
                </c:pt>
                <c:pt idx="19">
                  <c:v>386889.50489872956</c:v>
                </c:pt>
                <c:pt idx="20">
                  <c:v>421562.87519265333</c:v>
                </c:pt>
              </c:numCache>
            </c:numRef>
          </c:val>
          <c:smooth val="0"/>
          <c:extLst>
            <c:ext xmlns:c16="http://schemas.microsoft.com/office/drawing/2014/chart" uri="{C3380CC4-5D6E-409C-BE32-E72D297353CC}">
              <c16:uniqueId val="{00000003-3356-4565-B67D-A77210B89813}"/>
            </c:ext>
          </c:extLst>
        </c:ser>
        <c:dLbls>
          <c:showLegendKey val="0"/>
          <c:showVal val="0"/>
          <c:showCatName val="0"/>
          <c:showSerName val="0"/>
          <c:showPercent val="0"/>
          <c:showBubbleSize val="0"/>
        </c:dLbls>
        <c:smooth val="0"/>
        <c:axId val="459245704"/>
        <c:axId val="459247272"/>
      </c:lineChart>
      <c:catAx>
        <c:axId val="4592457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5.2962763216241805E-2"/>
              <c:y val="0.6035666375036453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7272"/>
        <c:crosses val="autoZero"/>
        <c:auto val="1"/>
        <c:lblAlgn val="ctr"/>
        <c:lblOffset val="100"/>
        <c:noMultiLvlLbl val="1"/>
      </c:catAx>
      <c:valAx>
        <c:axId val="459247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7838660578386603E-2"/>
              <c:y val="8.4310804551656609E-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5704"/>
        <c:crosses val="autoZero"/>
        <c:crossBetween val="midCat"/>
      </c:valAx>
      <c:spPr>
        <a:noFill/>
        <a:ln>
          <a:noFill/>
        </a:ln>
        <a:effectLst/>
      </c:spPr>
    </c:plotArea>
    <c:legend>
      <c:legendPos val="b"/>
      <c:layout>
        <c:manualLayout>
          <c:xMode val="edge"/>
          <c:yMode val="edge"/>
          <c:x val="2.8451922961684689E-3"/>
          <c:y val="0.69189476315460574"/>
          <c:w val="0.99287671232876717"/>
          <c:h val="0.291389201349831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Payback period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567790074076735"/>
          <c:y val="0.12655687316193906"/>
          <c:w val="0.7918012184695592"/>
          <c:h val="0.48621757148777445"/>
        </c:manualLayout>
      </c:layout>
      <c:lineChart>
        <c:grouping val="standard"/>
        <c:varyColors val="0"/>
        <c:ser>
          <c:idx val="0"/>
          <c:order val="0"/>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[0]!Payback_2_invest</c:f>
              <c:numCache>
                <c:formatCode>#\ ##0_ ;\-#\ ##0\ </c:formatCode>
                <c:ptCount val="21"/>
                <c:pt idx="0">
                  <c:v>212500</c:v>
                </c:pt>
                <c:pt idx="1">
                  <c:v>212500</c:v>
                </c:pt>
                <c:pt idx="2">
                  <c:v>212500</c:v>
                </c:pt>
                <c:pt idx="3">
                  <c:v>212500</c:v>
                </c:pt>
                <c:pt idx="4">
                  <c:v>212500</c:v>
                </c:pt>
                <c:pt idx="5">
                  <c:v>212500</c:v>
                </c:pt>
                <c:pt idx="6">
                  <c:v>212500</c:v>
                </c:pt>
                <c:pt idx="7">
                  <c:v>212500</c:v>
                </c:pt>
                <c:pt idx="8">
                  <c:v>212500</c:v>
                </c:pt>
                <c:pt idx="9">
                  <c:v>212500</c:v>
                </c:pt>
                <c:pt idx="10">
                  <c:v>212500</c:v>
                </c:pt>
                <c:pt idx="11">
                  <c:v>212500</c:v>
                </c:pt>
                <c:pt idx="12">
                  <c:v>212500</c:v>
                </c:pt>
                <c:pt idx="13">
                  <c:v>212500</c:v>
                </c:pt>
                <c:pt idx="14">
                  <c:v>212500</c:v>
                </c:pt>
                <c:pt idx="15">
                  <c:v>212500</c:v>
                </c:pt>
                <c:pt idx="16">
                  <c:v>212500</c:v>
                </c:pt>
                <c:pt idx="17">
                  <c:v>212500</c:v>
                </c:pt>
                <c:pt idx="18">
                  <c:v>212500</c:v>
                </c:pt>
                <c:pt idx="19">
                  <c:v>212500</c:v>
                </c:pt>
                <c:pt idx="20">
                  <c:v>212500</c:v>
                </c:pt>
              </c:numCache>
            </c:numRef>
          </c:val>
          <c:smooth val="0"/>
          <c:extLst>
            <c:ext xmlns:c16="http://schemas.microsoft.com/office/drawing/2014/chart" uri="{C3380CC4-5D6E-409C-BE32-E72D297353CC}">
              <c16:uniqueId val="{00000000-C619-4FCF-BF07-E29A7C7D32F9}"/>
            </c:ext>
          </c:extLst>
        </c:ser>
        <c:ser>
          <c:idx val="1"/>
          <c:order val="1"/>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c:f>
              <c:numCache>
                <c:formatCode>#\ ##0_ ;\-#\ ##0\ </c:formatCode>
                <c:ptCount val="21"/>
                <c:pt idx="0">
                  <c:v>0</c:v>
                </c:pt>
                <c:pt idx="1">
                  <c:v>24600</c:v>
                </c:pt>
                <c:pt idx="2">
                  <c:v>49200</c:v>
                </c:pt>
                <c:pt idx="3">
                  <c:v>73800</c:v>
                </c:pt>
                <c:pt idx="4">
                  <c:v>98400</c:v>
                </c:pt>
                <c:pt idx="5">
                  <c:v>123000</c:v>
                </c:pt>
                <c:pt idx="6">
                  <c:v>147600</c:v>
                </c:pt>
                <c:pt idx="7">
                  <c:v>172200</c:v>
                </c:pt>
                <c:pt idx="8">
                  <c:v>196800</c:v>
                </c:pt>
                <c:pt idx="9">
                  <c:v>221400</c:v>
                </c:pt>
                <c:pt idx="10">
                  <c:v>246000</c:v>
                </c:pt>
                <c:pt idx="11">
                  <c:v>270600</c:v>
                </c:pt>
                <c:pt idx="12">
                  <c:v>295200</c:v>
                </c:pt>
                <c:pt idx="13">
                  <c:v>319800</c:v>
                </c:pt>
                <c:pt idx="14">
                  <c:v>344400</c:v>
                </c:pt>
                <c:pt idx="15">
                  <c:v>369000</c:v>
                </c:pt>
                <c:pt idx="16">
                  <c:v>393600</c:v>
                </c:pt>
                <c:pt idx="17">
                  <c:v>418200</c:v>
                </c:pt>
                <c:pt idx="18">
                  <c:v>442800</c:v>
                </c:pt>
                <c:pt idx="19">
                  <c:v>467400</c:v>
                </c:pt>
                <c:pt idx="20">
                  <c:v>492000</c:v>
                </c:pt>
              </c:numCache>
            </c:numRef>
          </c:val>
          <c:smooth val="0"/>
          <c:extLst>
            <c:ext xmlns:c16="http://schemas.microsoft.com/office/drawing/2014/chart" uri="{C3380CC4-5D6E-409C-BE32-E72D297353CC}">
              <c16:uniqueId val="{00000001-C619-4FCF-BF07-E29A7C7D32F9}"/>
            </c:ext>
          </c:extLst>
        </c:ser>
        <c:ser>
          <c:idx val="2"/>
          <c:order val="2"/>
          <c:tx>
            <c:strRef>
              <c:f>'6. Pay back time'!$K$9:$K$10</c:f>
              <c:strCache>
                <c:ptCount val="2"/>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c:f>
              <c:numCache>
                <c:formatCode>#\ ##0_ ;\-#\ ##0\ </c:formatCode>
                <c:ptCount val="21"/>
                <c:pt idx="0">
                  <c:v>0</c:v>
                </c:pt>
                <c:pt idx="1">
                  <c:v>24600</c:v>
                </c:pt>
                <c:pt idx="2">
                  <c:v>49938</c:v>
                </c:pt>
                <c:pt idx="3">
                  <c:v>76036.14</c:v>
                </c:pt>
                <c:pt idx="4">
                  <c:v>102917.2242</c:v>
                </c:pt>
                <c:pt idx="5">
                  <c:v>130604.740926</c:v>
                </c:pt>
                <c:pt idx="6">
                  <c:v>159122.88315378001</c:v>
                </c:pt>
                <c:pt idx="7">
                  <c:v>188496.56964839343</c:v>
                </c:pt>
                <c:pt idx="8">
                  <c:v>218751.46673784524</c:v>
                </c:pt>
                <c:pt idx="9">
                  <c:v>249914.01073998061</c:v>
                </c:pt>
                <c:pt idx="10">
                  <c:v>282011.43106218003</c:v>
                </c:pt>
                <c:pt idx="11">
                  <c:v>315071.77399404545</c:v>
                </c:pt>
                <c:pt idx="12">
                  <c:v>349123.92721386685</c:v>
                </c:pt>
                <c:pt idx="13">
                  <c:v>384197.64503028285</c:v>
                </c:pt>
                <c:pt idx="14">
                  <c:v>420323.57438119134</c:v>
                </c:pt>
                <c:pt idx="15">
                  <c:v>457533.28161262709</c:v>
                </c:pt>
                <c:pt idx="16">
                  <c:v>495859.28006100591</c:v>
                </c:pt>
                <c:pt idx="17">
                  <c:v>535335.05846283608</c:v>
                </c:pt>
                <c:pt idx="18">
                  <c:v>575995.11021672119</c:v>
                </c:pt>
                <c:pt idx="19">
                  <c:v>617874.96352322283</c:v>
                </c:pt>
                <c:pt idx="20">
                  <c:v>661011.21242891951</c:v>
                </c:pt>
              </c:numCache>
            </c:numRef>
          </c:val>
          <c:smooth val="0"/>
          <c:extLst>
            <c:ext xmlns:c16="http://schemas.microsoft.com/office/drawing/2014/chart" uri="{C3380CC4-5D6E-409C-BE32-E72D297353CC}">
              <c16:uniqueId val="{00000002-C619-4FCF-BF07-E29A7C7D32F9}"/>
            </c:ext>
          </c:extLst>
        </c:ser>
        <c:ser>
          <c:idx val="3"/>
          <c:order val="3"/>
          <c:tx>
            <c:strRef>
              <c:f>'6. Pay back time'!$M$9:$M$10</c:f>
              <c:strCache>
                <c:ptCount val="2"/>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[0]!Payback_2ep_change2</c:f>
              <c:numCache>
                <c:formatCode>#\ ##0_ ;\-#\ ##0\ </c:formatCode>
                <c:ptCount val="21"/>
                <c:pt idx="0">
                  <c:v>0</c:v>
                </c:pt>
                <c:pt idx="1">
                  <c:v>24600</c:v>
                </c:pt>
                <c:pt idx="2">
                  <c:v>50676</c:v>
                </c:pt>
                <c:pt idx="3">
                  <c:v>78316.56</c:v>
                </c:pt>
                <c:pt idx="4">
                  <c:v>107615.5536</c:v>
                </c:pt>
                <c:pt idx="5">
                  <c:v>138672.48681599999</c:v>
                </c:pt>
                <c:pt idx="6">
                  <c:v>171592.83602495998</c:v>
                </c:pt>
                <c:pt idx="7">
                  <c:v>206488.40618645761</c:v>
                </c:pt>
                <c:pt idx="8">
                  <c:v>243477.71055764507</c:v>
                </c:pt>
                <c:pt idx="9">
                  <c:v>282686.3731911038</c:v>
                </c:pt>
                <c:pt idx="10">
                  <c:v>324247.55558257003</c:v>
                </c:pt>
                <c:pt idx="11">
                  <c:v>368302.40891752427</c:v>
                </c:pt>
                <c:pt idx="12">
                  <c:v>415000.55345257575</c:v>
                </c:pt>
                <c:pt idx="13">
                  <c:v>464500.5866597303</c:v>
                </c:pt>
                <c:pt idx="14">
                  <c:v>516970.62185931415</c:v>
                </c:pt>
                <c:pt idx="15">
                  <c:v>572588.85917087307</c:v>
                </c:pt>
                <c:pt idx="16">
                  <c:v>631544.19072112546</c:v>
                </c:pt>
                <c:pt idx="17">
                  <c:v>694036.84216439305</c:v>
                </c:pt>
                <c:pt idx="18">
                  <c:v>760279.05269425665</c:v>
                </c:pt>
                <c:pt idx="19">
                  <c:v>830495.79585591203</c:v>
                </c:pt>
                <c:pt idx="20">
                  <c:v>904925.54360726674</c:v>
                </c:pt>
              </c:numCache>
            </c:numRef>
          </c:val>
          <c:smooth val="0"/>
          <c:extLst>
            <c:ext xmlns:c16="http://schemas.microsoft.com/office/drawing/2014/chart" uri="{C3380CC4-5D6E-409C-BE32-E72D297353CC}">
              <c16:uniqueId val="{00000003-C619-4FCF-BF07-E29A7C7D32F9}"/>
            </c:ext>
          </c:extLst>
        </c:ser>
        <c:dLbls>
          <c:showLegendKey val="0"/>
          <c:showVal val="0"/>
          <c:showCatName val="0"/>
          <c:showSerName val="0"/>
          <c:showPercent val="0"/>
          <c:showBubbleSize val="0"/>
        </c:dLbls>
        <c:smooth val="0"/>
        <c:axId val="459244136"/>
        <c:axId val="459246096"/>
      </c:lineChart>
      <c:catAx>
        <c:axId val="45924413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4.5200318069580712E-2"/>
              <c:y val="0.6410512411438765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6096"/>
        <c:crosses val="autoZero"/>
        <c:auto val="1"/>
        <c:lblAlgn val="ctr"/>
        <c:lblOffset val="100"/>
        <c:noMultiLvlLbl val="0"/>
      </c:catAx>
      <c:valAx>
        <c:axId val="459246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1366742596810934"/>
              <c:y val="3.223592333977117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4136"/>
        <c:crosses val="autoZero"/>
        <c:crossBetween val="between"/>
      </c:valAx>
      <c:spPr>
        <a:noFill/>
        <a:ln>
          <a:noFill/>
        </a:ln>
        <a:effectLst/>
      </c:spPr>
    </c:plotArea>
    <c:legend>
      <c:legendPos val="b"/>
      <c:layout>
        <c:manualLayout>
          <c:xMode val="edge"/>
          <c:yMode val="edge"/>
          <c:x val="4.1064456920105923E-3"/>
          <c:y val="0.71239077416207919"/>
          <c:w val="0.99061503416856489"/>
          <c:h val="0.28758375791261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Payback period,</a:t>
            </a:r>
            <a:r>
              <a:rPr lang="en-US" baseline="0"/>
              <a:t> </a:t>
            </a:r>
            <a:r>
              <a:rPr lang="en-US"/>
              <a:t>Both measures</a:t>
            </a:r>
          </a:p>
        </c:rich>
      </c:tx>
      <c:layout>
        <c:manualLayout>
          <c:xMode val="edge"/>
          <c:yMode val="edge"/>
          <c:x val="0.36100000000000004"/>
          <c:y val="1.3880853457534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32770831112263"/>
          <c:y val="5.7141207262637418E-2"/>
          <c:w val="0.81497440944881894"/>
          <c:h val="0.45497102144136453"/>
        </c:manualLayout>
      </c:layout>
      <c:lineChart>
        <c:grouping val="standard"/>
        <c:varyColors val="0"/>
        <c:ser>
          <c:idx val="0"/>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[0]!Payback_1_invest</c:f>
              <c:numCache>
                <c:formatCode>#\ ##0_ ;\-#\ ##0\ </c:formatCode>
                <c:ptCount val="21"/>
                <c:pt idx="0">
                  <c:v>156400</c:v>
                </c:pt>
                <c:pt idx="1">
                  <c:v>156400</c:v>
                </c:pt>
                <c:pt idx="2">
                  <c:v>156400</c:v>
                </c:pt>
                <c:pt idx="3">
                  <c:v>156400</c:v>
                </c:pt>
                <c:pt idx="4">
                  <c:v>156400</c:v>
                </c:pt>
                <c:pt idx="5">
                  <c:v>156400</c:v>
                </c:pt>
                <c:pt idx="6">
                  <c:v>156400</c:v>
                </c:pt>
                <c:pt idx="7">
                  <c:v>156400</c:v>
                </c:pt>
                <c:pt idx="8">
                  <c:v>156400</c:v>
                </c:pt>
                <c:pt idx="9">
                  <c:v>156400</c:v>
                </c:pt>
                <c:pt idx="10">
                  <c:v>156400</c:v>
                </c:pt>
                <c:pt idx="11">
                  <c:v>156400</c:v>
                </c:pt>
                <c:pt idx="12">
                  <c:v>156400</c:v>
                </c:pt>
                <c:pt idx="13">
                  <c:v>156400</c:v>
                </c:pt>
                <c:pt idx="14">
                  <c:v>156400</c:v>
                </c:pt>
                <c:pt idx="15">
                  <c:v>156400</c:v>
                </c:pt>
                <c:pt idx="16">
                  <c:v>156400</c:v>
                </c:pt>
                <c:pt idx="17">
                  <c:v>156400</c:v>
                </c:pt>
                <c:pt idx="18">
                  <c:v>156400</c:v>
                </c:pt>
                <c:pt idx="19">
                  <c:v>156400</c:v>
                </c:pt>
                <c:pt idx="20">
                  <c:v>156400</c:v>
                </c:pt>
              </c:numCache>
            </c:numRef>
          </c:val>
          <c:smooth val="0"/>
          <c:extLst>
            <c:ext xmlns:c16="http://schemas.microsoft.com/office/drawing/2014/chart" uri="{C3380CC4-5D6E-409C-BE32-E72D297353CC}">
              <c16:uniqueId val="{00000000-6F54-49B1-8F9B-9567CCBC7F2C}"/>
            </c:ext>
          </c:extLst>
        </c:ser>
        <c:ser>
          <c:idx val="1"/>
          <c:order val="1"/>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[0]!Payback_2_invest</c:f>
              <c:numCache>
                <c:formatCode>#\ ##0_ ;\-#\ ##0\ </c:formatCode>
                <c:ptCount val="21"/>
                <c:pt idx="0">
                  <c:v>212500</c:v>
                </c:pt>
                <c:pt idx="1">
                  <c:v>212500</c:v>
                </c:pt>
                <c:pt idx="2">
                  <c:v>212500</c:v>
                </c:pt>
                <c:pt idx="3">
                  <c:v>212500</c:v>
                </c:pt>
                <c:pt idx="4">
                  <c:v>212500</c:v>
                </c:pt>
                <c:pt idx="5">
                  <c:v>212500</c:v>
                </c:pt>
                <c:pt idx="6">
                  <c:v>212500</c:v>
                </c:pt>
                <c:pt idx="7">
                  <c:v>212500</c:v>
                </c:pt>
                <c:pt idx="8">
                  <c:v>212500</c:v>
                </c:pt>
                <c:pt idx="9">
                  <c:v>212500</c:v>
                </c:pt>
                <c:pt idx="10">
                  <c:v>212500</c:v>
                </c:pt>
                <c:pt idx="11">
                  <c:v>212500</c:v>
                </c:pt>
                <c:pt idx="12">
                  <c:v>212500</c:v>
                </c:pt>
                <c:pt idx="13">
                  <c:v>212500</c:v>
                </c:pt>
                <c:pt idx="14">
                  <c:v>212500</c:v>
                </c:pt>
                <c:pt idx="15">
                  <c:v>212500</c:v>
                </c:pt>
                <c:pt idx="16">
                  <c:v>212500</c:v>
                </c:pt>
                <c:pt idx="17">
                  <c:v>212500</c:v>
                </c:pt>
                <c:pt idx="18">
                  <c:v>212500</c:v>
                </c:pt>
                <c:pt idx="19">
                  <c:v>212500</c:v>
                </c:pt>
                <c:pt idx="20">
                  <c:v>212500</c:v>
                </c:pt>
              </c:numCache>
            </c:numRef>
          </c:val>
          <c:smooth val="0"/>
          <c:extLst>
            <c:ext xmlns:c16="http://schemas.microsoft.com/office/drawing/2014/chart" uri="{C3380CC4-5D6E-409C-BE32-E72D297353CC}">
              <c16:uniqueId val="{00000001-6F54-49B1-8F9B-9567CCBC7F2C}"/>
            </c:ext>
          </c:extLst>
        </c:ser>
        <c:ser>
          <c:idx val="2"/>
          <c:order val="2"/>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c:f>
              <c:numCache>
                <c:formatCode>#\ ##0_ ;\-#\ ##0\ </c:formatCode>
                <c:ptCount val="21"/>
                <c:pt idx="0">
                  <c:v>0</c:v>
                </c:pt>
                <c:pt idx="1">
                  <c:v>11460</c:v>
                </c:pt>
                <c:pt idx="2">
                  <c:v>22920</c:v>
                </c:pt>
                <c:pt idx="3">
                  <c:v>34380</c:v>
                </c:pt>
                <c:pt idx="4">
                  <c:v>45840</c:v>
                </c:pt>
                <c:pt idx="5">
                  <c:v>57300</c:v>
                </c:pt>
                <c:pt idx="6">
                  <c:v>68760</c:v>
                </c:pt>
                <c:pt idx="7">
                  <c:v>80220</c:v>
                </c:pt>
                <c:pt idx="8">
                  <c:v>91680</c:v>
                </c:pt>
                <c:pt idx="9">
                  <c:v>103140</c:v>
                </c:pt>
                <c:pt idx="10">
                  <c:v>114600</c:v>
                </c:pt>
                <c:pt idx="11">
                  <c:v>126060</c:v>
                </c:pt>
                <c:pt idx="12">
                  <c:v>137520</c:v>
                </c:pt>
                <c:pt idx="13">
                  <c:v>148980</c:v>
                </c:pt>
                <c:pt idx="14">
                  <c:v>160440</c:v>
                </c:pt>
                <c:pt idx="15">
                  <c:v>171900</c:v>
                </c:pt>
                <c:pt idx="16">
                  <c:v>183360</c:v>
                </c:pt>
                <c:pt idx="17">
                  <c:v>194820</c:v>
                </c:pt>
                <c:pt idx="18">
                  <c:v>206280</c:v>
                </c:pt>
                <c:pt idx="19">
                  <c:v>217740</c:v>
                </c:pt>
                <c:pt idx="20">
                  <c:v>229200</c:v>
                </c:pt>
              </c:numCache>
            </c:numRef>
          </c:val>
          <c:smooth val="0"/>
          <c:extLst>
            <c:ext xmlns:c16="http://schemas.microsoft.com/office/drawing/2014/chart" uri="{C3380CC4-5D6E-409C-BE32-E72D297353CC}">
              <c16:uniqueId val="{00000002-6F54-49B1-8F9B-9567CCBC7F2C}"/>
            </c:ext>
          </c:extLst>
        </c:ser>
        <c:ser>
          <c:idx val="3"/>
          <c:order val="3"/>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c:f>
              <c:numCache>
                <c:formatCode>#\ ##0_ ;\-#\ ##0\ </c:formatCode>
                <c:ptCount val="21"/>
                <c:pt idx="0">
                  <c:v>0</c:v>
                </c:pt>
                <c:pt idx="1">
                  <c:v>24600</c:v>
                </c:pt>
                <c:pt idx="2">
                  <c:v>49200</c:v>
                </c:pt>
                <c:pt idx="3">
                  <c:v>73800</c:v>
                </c:pt>
                <c:pt idx="4">
                  <c:v>98400</c:v>
                </c:pt>
                <c:pt idx="5">
                  <c:v>123000</c:v>
                </c:pt>
                <c:pt idx="6">
                  <c:v>147600</c:v>
                </c:pt>
                <c:pt idx="7">
                  <c:v>172200</c:v>
                </c:pt>
                <c:pt idx="8">
                  <c:v>196800</c:v>
                </c:pt>
                <c:pt idx="9">
                  <c:v>221400</c:v>
                </c:pt>
                <c:pt idx="10">
                  <c:v>246000</c:v>
                </c:pt>
                <c:pt idx="11">
                  <c:v>270600</c:v>
                </c:pt>
                <c:pt idx="12">
                  <c:v>295200</c:v>
                </c:pt>
                <c:pt idx="13">
                  <c:v>319800</c:v>
                </c:pt>
                <c:pt idx="14">
                  <c:v>344400</c:v>
                </c:pt>
                <c:pt idx="15">
                  <c:v>369000</c:v>
                </c:pt>
                <c:pt idx="16">
                  <c:v>393600</c:v>
                </c:pt>
                <c:pt idx="17">
                  <c:v>418200</c:v>
                </c:pt>
                <c:pt idx="18">
                  <c:v>442800</c:v>
                </c:pt>
                <c:pt idx="19">
                  <c:v>467400</c:v>
                </c:pt>
                <c:pt idx="20">
                  <c:v>492000</c:v>
                </c:pt>
              </c:numCache>
            </c:numRef>
          </c:val>
          <c:smooth val="0"/>
          <c:extLst>
            <c:ext xmlns:c16="http://schemas.microsoft.com/office/drawing/2014/chart" uri="{C3380CC4-5D6E-409C-BE32-E72D297353CC}">
              <c16:uniqueId val="{00000003-6F54-49B1-8F9B-9567CCBC7F2C}"/>
            </c:ext>
          </c:extLst>
        </c:ser>
        <c:ser>
          <c:idx val="4"/>
          <c:order val="4"/>
          <c:tx>
            <c:strRef>
              <c:f>'6. Pay back time'!$J$9:$J$11</c:f>
              <c:strCache>
                <c:ptCount val="3"/>
                <c:pt idx="0">
                  <c:v>Payback_1 Decrease energy/water costs (€)</c:v>
                </c:pt>
                <c:pt idx="1">
                  <c:v>Option 1. Energy/water prices change</c:v>
                </c:pt>
              </c:strCache>
            </c:strRef>
          </c:tx>
          <c:spPr>
            <a:ln w="28575" cap="rnd">
              <a:solidFill>
                <a:srgbClr val="7030A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c:f>
              <c:numCache>
                <c:formatCode>#\ ##0_ ;\-#\ ##0\ </c:formatCode>
                <c:ptCount val="21"/>
                <c:pt idx="0">
                  <c:v>0</c:v>
                </c:pt>
                <c:pt idx="1">
                  <c:v>11460</c:v>
                </c:pt>
                <c:pt idx="2">
                  <c:v>23263.8</c:v>
                </c:pt>
                <c:pt idx="3">
                  <c:v>35421.714</c:v>
                </c:pt>
                <c:pt idx="4">
                  <c:v>47944.365420000002</c:v>
                </c:pt>
                <c:pt idx="5">
                  <c:v>60842.696382600006</c:v>
                </c:pt>
                <c:pt idx="6">
                  <c:v>74127.977274078003</c:v>
                </c:pt>
                <c:pt idx="7">
                  <c:v>87811.81659230034</c:v>
                </c:pt>
                <c:pt idx="8">
                  <c:v>101906.17109006936</c:v>
                </c:pt>
                <c:pt idx="9">
                  <c:v>116423.35622277144</c:v>
                </c:pt>
                <c:pt idx="10">
                  <c:v>131376.05690945458</c:v>
                </c:pt>
                <c:pt idx="11">
                  <c:v>146777.33861673821</c:v>
                </c:pt>
                <c:pt idx="12">
                  <c:v>162640.65877524036</c:v>
                </c:pt>
                <c:pt idx="13">
                  <c:v>178979.87853849758</c:v>
                </c:pt>
                <c:pt idx="14">
                  <c:v>195809.27489465251</c:v>
                </c:pt>
                <c:pt idx="15">
                  <c:v>213143.5531414921</c:v>
                </c:pt>
                <c:pt idx="16">
                  <c:v>230997.85973573686</c:v>
                </c:pt>
                <c:pt idx="17">
                  <c:v>249387.79552780898</c:v>
                </c:pt>
                <c:pt idx="18">
                  <c:v>268329.42939364328</c:v>
                </c:pt>
                <c:pt idx="19">
                  <c:v>287839.3122754526</c:v>
                </c:pt>
                <c:pt idx="20">
                  <c:v>307934.49164371617</c:v>
                </c:pt>
              </c:numCache>
            </c:numRef>
          </c:val>
          <c:smooth val="0"/>
          <c:extLst>
            <c:ext xmlns:c16="http://schemas.microsoft.com/office/drawing/2014/chart" uri="{C3380CC4-5D6E-409C-BE32-E72D297353CC}">
              <c16:uniqueId val="{00000004-6F54-49B1-8F9B-9567CCBC7F2C}"/>
            </c:ext>
          </c:extLst>
        </c:ser>
        <c:ser>
          <c:idx val="5"/>
          <c:order val="5"/>
          <c:tx>
            <c:strRef>
              <c:f>'6. Pay back time'!$K$9:$K$11</c:f>
              <c:strCache>
                <c:ptCount val="3"/>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c:f>
              <c:numCache>
                <c:formatCode>#\ ##0_ ;\-#\ ##0\ </c:formatCode>
                <c:ptCount val="21"/>
                <c:pt idx="0">
                  <c:v>0</c:v>
                </c:pt>
                <c:pt idx="1">
                  <c:v>24600</c:v>
                </c:pt>
                <c:pt idx="2">
                  <c:v>49938</c:v>
                </c:pt>
                <c:pt idx="3">
                  <c:v>76036.14</c:v>
                </c:pt>
                <c:pt idx="4">
                  <c:v>102917.2242</c:v>
                </c:pt>
                <c:pt idx="5">
                  <c:v>130604.740926</c:v>
                </c:pt>
                <c:pt idx="6">
                  <c:v>159122.88315378001</c:v>
                </c:pt>
                <c:pt idx="7">
                  <c:v>188496.56964839343</c:v>
                </c:pt>
                <c:pt idx="8">
                  <c:v>218751.46673784524</c:v>
                </c:pt>
                <c:pt idx="9">
                  <c:v>249914.01073998061</c:v>
                </c:pt>
                <c:pt idx="10">
                  <c:v>282011.43106218003</c:v>
                </c:pt>
                <c:pt idx="11">
                  <c:v>315071.77399404545</c:v>
                </c:pt>
                <c:pt idx="12">
                  <c:v>349123.92721386685</c:v>
                </c:pt>
                <c:pt idx="13">
                  <c:v>384197.64503028285</c:v>
                </c:pt>
                <c:pt idx="14">
                  <c:v>420323.57438119134</c:v>
                </c:pt>
                <c:pt idx="15">
                  <c:v>457533.28161262709</c:v>
                </c:pt>
                <c:pt idx="16">
                  <c:v>495859.28006100591</c:v>
                </c:pt>
                <c:pt idx="17">
                  <c:v>535335.05846283608</c:v>
                </c:pt>
                <c:pt idx="18">
                  <c:v>575995.11021672119</c:v>
                </c:pt>
                <c:pt idx="19">
                  <c:v>617874.96352322283</c:v>
                </c:pt>
                <c:pt idx="20">
                  <c:v>661011.21242891951</c:v>
                </c:pt>
              </c:numCache>
            </c:numRef>
          </c:val>
          <c:smooth val="0"/>
          <c:extLst>
            <c:ext xmlns:c16="http://schemas.microsoft.com/office/drawing/2014/chart" uri="{C3380CC4-5D6E-409C-BE32-E72D297353CC}">
              <c16:uniqueId val="{00000005-6F54-49B1-8F9B-9567CCBC7F2C}"/>
            </c:ext>
          </c:extLst>
        </c:ser>
        <c:ser>
          <c:idx val="6"/>
          <c:order val="6"/>
          <c:tx>
            <c:strRef>
              <c:f>'6. Pay back time'!$L$9:$L$11</c:f>
              <c:strCache>
                <c:ptCount val="3"/>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[0]!Payback_1ep_change2</c:f>
              <c:numCache>
                <c:formatCode>#\ ##0_ ;\-#\ ##0\ </c:formatCode>
                <c:ptCount val="21"/>
                <c:pt idx="0">
                  <c:v>0</c:v>
                </c:pt>
                <c:pt idx="1">
                  <c:v>11460</c:v>
                </c:pt>
                <c:pt idx="2">
                  <c:v>23607.599999999999</c:v>
                </c:pt>
                <c:pt idx="3">
                  <c:v>36484.055999999997</c:v>
                </c:pt>
                <c:pt idx="4">
                  <c:v>50133.09936</c:v>
                </c:pt>
                <c:pt idx="5">
                  <c:v>64601.085321600003</c:v>
                </c:pt>
                <c:pt idx="6">
                  <c:v>79937.150440896003</c:v>
                </c:pt>
                <c:pt idx="7">
                  <c:v>96193.379467349761</c:v>
                </c:pt>
                <c:pt idx="8">
                  <c:v>113424.98223539075</c:v>
                </c:pt>
                <c:pt idx="9">
                  <c:v>131690.48116951418</c:v>
                </c:pt>
                <c:pt idx="10">
                  <c:v>151051.91003968503</c:v>
                </c:pt>
                <c:pt idx="11">
                  <c:v>171575.02464206613</c:v>
                </c:pt>
                <c:pt idx="12">
                  <c:v>193329.5261205901</c:v>
                </c:pt>
                <c:pt idx="13">
                  <c:v>216389.29768782551</c:v>
                </c:pt>
                <c:pt idx="14">
                  <c:v>240832.65554909504</c:v>
                </c:pt>
                <c:pt idx="15">
                  <c:v>266742.61488204077</c:v>
                </c:pt>
                <c:pt idx="16">
                  <c:v>294207.17177496321</c:v>
                </c:pt>
                <c:pt idx="17">
                  <c:v>323319.60208146099</c:v>
                </c:pt>
                <c:pt idx="18">
                  <c:v>354178.77820634865</c:v>
                </c:pt>
                <c:pt idx="19">
                  <c:v>386889.50489872956</c:v>
                </c:pt>
                <c:pt idx="20">
                  <c:v>421562.87519265333</c:v>
                </c:pt>
              </c:numCache>
            </c:numRef>
          </c:val>
          <c:smooth val="0"/>
          <c:extLst>
            <c:ext xmlns:c16="http://schemas.microsoft.com/office/drawing/2014/chart" uri="{C3380CC4-5D6E-409C-BE32-E72D297353CC}">
              <c16:uniqueId val="{00000006-6F54-49B1-8F9B-9567CCBC7F2C}"/>
            </c:ext>
          </c:extLst>
        </c:ser>
        <c:ser>
          <c:idx val="7"/>
          <c:order val="7"/>
          <c:tx>
            <c:strRef>
              <c:f>'6. Pay back time'!$M$9:$M$11</c:f>
              <c:strCache>
                <c:ptCount val="3"/>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[0]!Payback_2ep_change2</c:f>
              <c:numCache>
                <c:formatCode>#\ ##0_ ;\-#\ ##0\ </c:formatCode>
                <c:ptCount val="21"/>
                <c:pt idx="0">
                  <c:v>0</c:v>
                </c:pt>
                <c:pt idx="1">
                  <c:v>24600</c:v>
                </c:pt>
                <c:pt idx="2">
                  <c:v>50676</c:v>
                </c:pt>
                <c:pt idx="3">
                  <c:v>78316.56</c:v>
                </c:pt>
                <c:pt idx="4">
                  <c:v>107615.5536</c:v>
                </c:pt>
                <c:pt idx="5">
                  <c:v>138672.48681599999</c:v>
                </c:pt>
                <c:pt idx="6">
                  <c:v>171592.83602495998</c:v>
                </c:pt>
                <c:pt idx="7">
                  <c:v>206488.40618645761</c:v>
                </c:pt>
                <c:pt idx="8">
                  <c:v>243477.71055764507</c:v>
                </c:pt>
                <c:pt idx="9">
                  <c:v>282686.3731911038</c:v>
                </c:pt>
                <c:pt idx="10">
                  <c:v>324247.55558257003</c:v>
                </c:pt>
                <c:pt idx="11">
                  <c:v>368302.40891752427</c:v>
                </c:pt>
                <c:pt idx="12">
                  <c:v>415000.55345257575</c:v>
                </c:pt>
                <c:pt idx="13">
                  <c:v>464500.5866597303</c:v>
                </c:pt>
                <c:pt idx="14">
                  <c:v>516970.62185931415</c:v>
                </c:pt>
                <c:pt idx="15">
                  <c:v>572588.85917087307</c:v>
                </c:pt>
                <c:pt idx="16">
                  <c:v>631544.19072112546</c:v>
                </c:pt>
                <c:pt idx="17">
                  <c:v>694036.84216439305</c:v>
                </c:pt>
                <c:pt idx="18">
                  <c:v>760279.05269425665</c:v>
                </c:pt>
                <c:pt idx="19">
                  <c:v>830495.79585591203</c:v>
                </c:pt>
                <c:pt idx="20">
                  <c:v>904925.54360726674</c:v>
                </c:pt>
              </c:numCache>
            </c:numRef>
          </c:val>
          <c:smooth val="0"/>
          <c:extLst>
            <c:ext xmlns:c16="http://schemas.microsoft.com/office/drawing/2014/chart" uri="{C3380CC4-5D6E-409C-BE32-E72D297353CC}">
              <c16:uniqueId val="{00000007-6F54-49B1-8F9B-9567CCBC7F2C}"/>
            </c:ext>
          </c:extLst>
        </c:ser>
        <c:dLbls>
          <c:showLegendKey val="0"/>
          <c:showVal val="0"/>
          <c:showCatName val="0"/>
          <c:showSerName val="0"/>
          <c:showPercent val="0"/>
          <c:showBubbleSize val="0"/>
        </c:dLbls>
        <c:smooth val="0"/>
        <c:axId val="459248840"/>
        <c:axId val="460054720"/>
      </c:lineChart>
      <c:catAx>
        <c:axId val="459248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054720"/>
        <c:crosses val="autoZero"/>
        <c:auto val="1"/>
        <c:lblAlgn val="ctr"/>
        <c:lblOffset val="100"/>
        <c:noMultiLvlLbl val="0"/>
      </c:catAx>
      <c:valAx>
        <c:axId val="460054720"/>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248840"/>
        <c:crosses val="autoZero"/>
        <c:crossBetween val="between"/>
      </c:valAx>
      <c:spPr>
        <a:noFill/>
        <a:ln>
          <a:noFill/>
        </a:ln>
        <a:effectLst/>
      </c:spPr>
    </c:plotArea>
    <c:legend>
      <c:legendPos val="b"/>
      <c:layout>
        <c:manualLayout>
          <c:xMode val="edge"/>
          <c:yMode val="edge"/>
          <c:x val="5.9164973329946663E-2"/>
          <c:y val="0.56980775928778471"/>
          <c:w val="0.86150876301752599"/>
          <c:h val="0.429322035276358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0</xdr:rowOff>
    </xdr:from>
    <xdr:to>
      <xdr:col>8</xdr:col>
      <xdr:colOff>385120</xdr:colOff>
      <xdr:row>0</xdr:row>
      <xdr:rowOff>961905</xdr:rowOff>
    </xdr:to>
    <xdr:pic>
      <xdr:nvPicPr>
        <xdr:cNvPr id="3" name="Kuva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49" y="0"/>
          <a:ext cx="5123809" cy="961905"/>
        </a:xfrm>
        <a:prstGeom prst="rect">
          <a:avLst/>
        </a:prstGeom>
      </xdr:spPr>
    </xdr:pic>
    <xdr:clientData/>
  </xdr:twoCellAnchor>
  <xdr:twoCellAnchor editAs="oneCell">
    <xdr:from>
      <xdr:col>9</xdr:col>
      <xdr:colOff>0</xdr:colOff>
      <xdr:row>5</xdr:row>
      <xdr:rowOff>0</xdr:rowOff>
    </xdr:from>
    <xdr:to>
      <xdr:col>16</xdr:col>
      <xdr:colOff>518045</xdr:colOff>
      <xdr:row>44</xdr:row>
      <xdr:rowOff>99218</xdr:rowOff>
    </xdr:to>
    <xdr:pic>
      <xdr:nvPicPr>
        <xdr:cNvPr id="9" name="Picture 4">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41156" y="1964531"/>
          <a:ext cx="4768577" cy="7588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694684</xdr:colOff>
      <xdr:row>3</xdr:row>
      <xdr:rowOff>1467</xdr:rowOff>
    </xdr:to>
    <xdr:pic>
      <xdr:nvPicPr>
        <xdr:cNvPr id="2" name="Kuva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123809" cy="9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501650</xdr:colOff>
      <xdr:row>11</xdr:row>
      <xdr:rowOff>69850</xdr:rowOff>
    </xdr:from>
    <xdr:to>
      <xdr:col>3</xdr:col>
      <xdr:colOff>584200</xdr:colOff>
      <xdr:row>31</xdr:row>
      <xdr:rowOff>76200</xdr:rowOff>
    </xdr:to>
    <xdr:graphicFrame macro="">
      <xdr:nvGraphicFramePr>
        <xdr:cNvPr id="19" name="Kaavio 18">
          <a:extLst>
            <a:ext uri="{FF2B5EF4-FFF2-40B4-BE49-F238E27FC236}">
              <a16:creationId xmlns:a16="http://schemas.microsoft.com/office/drawing/2014/main" id="{00000000-0008-0000-0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44450</xdr:colOff>
      <xdr:row>11</xdr:row>
      <xdr:rowOff>57150</xdr:rowOff>
    </xdr:from>
    <xdr:to>
      <xdr:col>8</xdr:col>
      <xdr:colOff>533400</xdr:colOff>
      <xdr:row>31</xdr:row>
      <xdr:rowOff>82550</xdr:rowOff>
    </xdr:to>
    <xdr:graphicFrame macro="">
      <xdr:nvGraphicFramePr>
        <xdr:cNvPr id="21" name="Kaavio 20">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xdr:row>
      <xdr:rowOff>76200</xdr:rowOff>
    </xdr:from>
    <xdr:to>
      <xdr:col>1</xdr:col>
      <xdr:colOff>457200</xdr:colOff>
      <xdr:row>31</xdr:row>
      <xdr:rowOff>82550</xdr:rowOff>
    </xdr:to>
    <xdr:graphicFrame macro="">
      <xdr:nvGraphicFramePr>
        <xdr:cNvPr id="22" name="Kaavio 21">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31751</xdr:colOff>
      <xdr:row>33</xdr:row>
      <xdr:rowOff>82550</xdr:rowOff>
    </xdr:from>
    <xdr:to>
      <xdr:col>1</xdr:col>
      <xdr:colOff>469900</xdr:colOff>
      <xdr:row>53</xdr:row>
      <xdr:rowOff>69850</xdr:rowOff>
    </xdr:to>
    <xdr:graphicFrame macro="">
      <xdr:nvGraphicFramePr>
        <xdr:cNvPr id="23" name="Kaavio 22">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31750</xdr:colOff>
      <xdr:row>33</xdr:row>
      <xdr:rowOff>76200</xdr:rowOff>
    </xdr:from>
    <xdr:to>
      <xdr:col>8</xdr:col>
      <xdr:colOff>469900</xdr:colOff>
      <xdr:row>53</xdr:row>
      <xdr:rowOff>82550</xdr:rowOff>
    </xdr:to>
    <xdr:graphicFrame macro="">
      <xdr:nvGraphicFramePr>
        <xdr:cNvPr id="25" name="Kaavio 24">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533399</xdr:colOff>
      <xdr:row>33</xdr:row>
      <xdr:rowOff>82550</xdr:rowOff>
    </xdr:from>
    <xdr:to>
      <xdr:col>4</xdr:col>
      <xdr:colOff>0</xdr:colOff>
      <xdr:row>53</xdr:row>
      <xdr:rowOff>69850</xdr:rowOff>
    </xdr:to>
    <xdr:graphicFrame macro="">
      <xdr:nvGraphicFramePr>
        <xdr:cNvPr id="27" name="Kaavio 26">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55</xdr:row>
      <xdr:rowOff>57150</xdr:rowOff>
    </xdr:from>
    <xdr:to>
      <xdr:col>1</xdr:col>
      <xdr:colOff>488950</xdr:colOff>
      <xdr:row>84</xdr:row>
      <xdr:rowOff>114300</xdr:rowOff>
    </xdr:to>
    <xdr:graphicFrame macro="">
      <xdr:nvGraphicFramePr>
        <xdr:cNvPr id="28" name="Kaavio 27">
          <a:extLst>
            <a:ext uri="{FF2B5EF4-FFF2-40B4-BE49-F238E27FC236}">
              <a16:creationId xmlns:a16="http://schemas.microsoft.com/office/drawing/2014/main" id="{00000000-0008-0000-06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50800</xdr:colOff>
      <xdr:row>55</xdr:row>
      <xdr:rowOff>66675</xdr:rowOff>
    </xdr:from>
    <xdr:to>
      <xdr:col>8</xdr:col>
      <xdr:colOff>511175</xdr:colOff>
      <xdr:row>84</xdr:row>
      <xdr:rowOff>101600</xdr:rowOff>
    </xdr:to>
    <xdr:graphicFrame macro="">
      <xdr:nvGraphicFramePr>
        <xdr:cNvPr id="29" name="Kaavio 28">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584200</xdr:colOff>
      <xdr:row>55</xdr:row>
      <xdr:rowOff>66675</xdr:rowOff>
    </xdr:from>
    <xdr:to>
      <xdr:col>3</xdr:col>
      <xdr:colOff>596900</xdr:colOff>
      <xdr:row>84</xdr:row>
      <xdr:rowOff>117475</xdr:rowOff>
    </xdr:to>
    <xdr:graphicFrame macro="">
      <xdr:nvGraphicFramePr>
        <xdr:cNvPr id="30" name="Kaavio 29">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86</xdr:row>
      <xdr:rowOff>158750</xdr:rowOff>
    </xdr:from>
    <xdr:to>
      <xdr:col>1</xdr:col>
      <xdr:colOff>431800</xdr:colOff>
      <xdr:row>103</xdr:row>
      <xdr:rowOff>107950</xdr:rowOff>
    </xdr:to>
    <xdr:graphicFrame macro="">
      <xdr:nvGraphicFramePr>
        <xdr:cNvPr id="31" name="Kaavio 30">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88900</xdr:colOff>
      <xdr:row>86</xdr:row>
      <xdr:rowOff>139700</xdr:rowOff>
    </xdr:from>
    <xdr:to>
      <xdr:col>8</xdr:col>
      <xdr:colOff>539750</xdr:colOff>
      <xdr:row>103</xdr:row>
      <xdr:rowOff>88900</xdr:rowOff>
    </xdr:to>
    <xdr:graphicFrame macro="">
      <xdr:nvGraphicFramePr>
        <xdr:cNvPr id="36" name="Kaavio 35">
          <a:extLst>
            <a:ext uri="{FF2B5EF4-FFF2-40B4-BE49-F238E27FC236}">
              <a16:creationId xmlns:a16="http://schemas.microsoft.com/office/drawing/2014/main"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508000</xdr:colOff>
      <xdr:row>86</xdr:row>
      <xdr:rowOff>146051</xdr:rowOff>
    </xdr:from>
    <xdr:to>
      <xdr:col>4</xdr:col>
      <xdr:colOff>38101</xdr:colOff>
      <xdr:row>103</xdr:row>
      <xdr:rowOff>88901</xdr:rowOff>
    </xdr:to>
    <xdr:graphicFrame macro="">
      <xdr:nvGraphicFramePr>
        <xdr:cNvPr id="37" name="Kaavio 36">
          <a:extLst>
            <a:ext uri="{FF2B5EF4-FFF2-40B4-BE49-F238E27FC236}">
              <a16:creationId xmlns:a16="http://schemas.microsoft.com/office/drawing/2014/main" id="{00000000-0008-0000-06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28575</xdr:colOff>
      <xdr:row>0</xdr:row>
      <xdr:rowOff>0</xdr:rowOff>
    </xdr:from>
    <xdr:to>
      <xdr:col>2</xdr:col>
      <xdr:colOff>151759</xdr:colOff>
      <xdr:row>0</xdr:row>
      <xdr:rowOff>961905</xdr:rowOff>
    </xdr:to>
    <xdr:pic>
      <xdr:nvPicPr>
        <xdr:cNvPr id="2" name="Kuva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3"/>
        <a:stretch>
          <a:fillRect/>
        </a:stretch>
      </xdr:blipFill>
      <xdr:spPr>
        <a:xfrm>
          <a:off x="28575" y="0"/>
          <a:ext cx="5123809" cy="9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50800</xdr:rowOff>
    </xdr:from>
    <xdr:to>
      <xdr:col>1</xdr:col>
      <xdr:colOff>1676400</xdr:colOff>
      <xdr:row>28</xdr:row>
      <xdr:rowOff>12700</xdr:rowOff>
    </xdr:to>
    <xdr:graphicFrame macro="">
      <xdr:nvGraphicFramePr>
        <xdr:cNvPr id="2" name="Kaavi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29</xdr:row>
      <xdr:rowOff>25400</xdr:rowOff>
    </xdr:from>
    <xdr:to>
      <xdr:col>1</xdr:col>
      <xdr:colOff>1670050</xdr:colOff>
      <xdr:row>48</xdr:row>
      <xdr:rowOff>38099</xdr:rowOff>
    </xdr:to>
    <xdr:graphicFrame macro="">
      <xdr:nvGraphicFramePr>
        <xdr:cNvPr id="3" name="Kaavi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8</xdr:col>
      <xdr:colOff>638175</xdr:colOff>
      <xdr:row>26</xdr:row>
      <xdr:rowOff>23812</xdr:rowOff>
    </xdr:from>
    <xdr:ext cx="65" cy="172227"/>
    <xdr:sp macro="" textlink="">
      <xdr:nvSpPr>
        <xdr:cNvPr id="4" name="Tekstiruutu 3">
          <a:extLst>
            <a:ext uri="{FF2B5EF4-FFF2-40B4-BE49-F238E27FC236}">
              <a16:creationId xmlns:a16="http://schemas.microsoft.com/office/drawing/2014/main" id="{00000000-0008-0000-0700-000004000000}"/>
            </a:ext>
          </a:extLst>
        </xdr:cNvPr>
        <xdr:cNvSpPr txBox="1"/>
      </xdr:nvSpPr>
      <xdr:spPr>
        <a:xfrm>
          <a:off x="8582025" y="32623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i-FI" sz="1100"/>
        </a:p>
      </xdr:txBody>
    </xdr:sp>
    <xdr:clientData/>
  </xdr:oneCellAnchor>
  <xdr:twoCellAnchor>
    <xdr:from>
      <xdr:col>0</xdr:col>
      <xdr:colOff>15874</xdr:colOff>
      <xdr:row>49</xdr:row>
      <xdr:rowOff>9524</xdr:rowOff>
    </xdr:from>
    <xdr:to>
      <xdr:col>1</xdr:col>
      <xdr:colOff>1676400</xdr:colOff>
      <xdr:row>76</xdr:row>
      <xdr:rowOff>158750</xdr:rowOff>
    </xdr:to>
    <xdr:graphicFrame macro="">
      <xdr:nvGraphicFramePr>
        <xdr:cNvPr id="5" name="Kaavio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85084</xdr:colOff>
      <xdr:row>0</xdr:row>
      <xdr:rowOff>961905</xdr:rowOff>
    </xdr:to>
    <xdr:pic>
      <xdr:nvPicPr>
        <xdr:cNvPr id="6" name="Kuva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4"/>
        <a:stretch>
          <a:fillRect/>
        </a:stretch>
      </xdr:blipFill>
      <xdr:spPr>
        <a:xfrm>
          <a:off x="0" y="0"/>
          <a:ext cx="5123809" cy="96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15875</xdr:colOff>
      <xdr:row>10</xdr:row>
      <xdr:rowOff>22224</xdr:rowOff>
    </xdr:from>
    <xdr:to>
      <xdr:col>1</xdr:col>
      <xdr:colOff>2286000</xdr:colOff>
      <xdr:row>28</xdr:row>
      <xdr:rowOff>25400</xdr:rowOff>
    </xdr:to>
    <xdr:graphicFrame macro="">
      <xdr:nvGraphicFramePr>
        <xdr:cNvPr id="2" name="Kaavi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28</xdr:row>
      <xdr:rowOff>152400</xdr:rowOff>
    </xdr:from>
    <xdr:to>
      <xdr:col>1</xdr:col>
      <xdr:colOff>2273300</xdr:colOff>
      <xdr:row>45</xdr:row>
      <xdr:rowOff>139700</xdr:rowOff>
    </xdr:to>
    <xdr:graphicFrame macro="">
      <xdr:nvGraphicFramePr>
        <xdr:cNvPr id="3" name="Kaavi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34925</xdr:colOff>
      <xdr:row>46</xdr:row>
      <xdr:rowOff>149224</xdr:rowOff>
    </xdr:from>
    <xdr:to>
      <xdr:col>1</xdr:col>
      <xdr:colOff>2266951</xdr:colOff>
      <xdr:row>69</xdr:row>
      <xdr:rowOff>6350</xdr:rowOff>
    </xdr:to>
    <xdr:graphicFrame macro="">
      <xdr:nvGraphicFramePr>
        <xdr:cNvPr id="4" name="Kaavi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208909</xdr:colOff>
      <xdr:row>0</xdr:row>
      <xdr:rowOff>961905</xdr:rowOff>
    </xdr:to>
    <xdr:pic>
      <xdr:nvPicPr>
        <xdr:cNvPr id="8" name="Kuva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4"/>
        <a:stretch>
          <a:fillRect/>
        </a:stretch>
      </xdr:blipFill>
      <xdr:spPr>
        <a:xfrm>
          <a:off x="0" y="0"/>
          <a:ext cx="5123809" cy="9619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xdr:row>
      <xdr:rowOff>73025</xdr:rowOff>
    </xdr:from>
    <xdr:to>
      <xdr:col>6</xdr:col>
      <xdr:colOff>530225</xdr:colOff>
      <xdr:row>34</xdr:row>
      <xdr:rowOff>57150</xdr:rowOff>
    </xdr:to>
    <xdr:graphicFrame macro="">
      <xdr:nvGraphicFramePr>
        <xdr:cNvPr id="2" name="Kaavi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11759</xdr:colOff>
      <xdr:row>17</xdr:row>
      <xdr:rowOff>75846</xdr:rowOff>
    </xdr:from>
    <xdr:to>
      <xdr:col>7</xdr:col>
      <xdr:colOff>0</xdr:colOff>
      <xdr:row>33</xdr:row>
      <xdr:rowOff>142521</xdr:rowOff>
    </xdr:to>
    <xdr:graphicFrame macro="">
      <xdr:nvGraphicFramePr>
        <xdr:cNvPr id="3" name="Kaavi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0</xdr:row>
      <xdr:rowOff>133350</xdr:rowOff>
    </xdr:from>
    <xdr:to>
      <xdr:col>6</xdr:col>
      <xdr:colOff>590550</xdr:colOff>
      <xdr:row>16</xdr:row>
      <xdr:rowOff>12700</xdr:rowOff>
    </xdr:to>
    <xdr:graphicFrame macro="">
      <xdr:nvGraphicFramePr>
        <xdr:cNvPr id="6" name="Kaavio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9</xdr:row>
      <xdr:rowOff>6350</xdr:rowOff>
    </xdr:from>
    <xdr:to>
      <xdr:col>1</xdr:col>
      <xdr:colOff>1720850</xdr:colOff>
      <xdr:row>35</xdr:row>
      <xdr:rowOff>19050</xdr:rowOff>
    </xdr:to>
    <xdr:graphicFrame macro="">
      <xdr:nvGraphicFramePr>
        <xdr:cNvPr id="2" name="Kaavio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37</xdr:row>
      <xdr:rowOff>38100</xdr:rowOff>
    </xdr:from>
    <xdr:to>
      <xdr:col>1</xdr:col>
      <xdr:colOff>1762125</xdr:colOff>
      <xdr:row>59</xdr:row>
      <xdr:rowOff>171450</xdr:rowOff>
    </xdr:to>
    <xdr:graphicFrame macro="">
      <xdr:nvGraphicFramePr>
        <xdr:cNvPr id="3" name="Kaavio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22225</xdr:colOff>
      <xdr:row>61</xdr:row>
      <xdr:rowOff>22224</xdr:rowOff>
    </xdr:from>
    <xdr:to>
      <xdr:col>1</xdr:col>
      <xdr:colOff>1771650</xdr:colOff>
      <xdr:row>90</xdr:row>
      <xdr:rowOff>171450</xdr:rowOff>
    </xdr:to>
    <xdr:graphicFrame macro="">
      <xdr:nvGraphicFramePr>
        <xdr:cNvPr id="4" name="Kaavio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161284</xdr:colOff>
      <xdr:row>0</xdr:row>
      <xdr:rowOff>961905</xdr:rowOff>
    </xdr:to>
    <xdr:pic>
      <xdr:nvPicPr>
        <xdr:cNvPr id="5" name="Kuva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4"/>
        <a:stretch>
          <a:fillRect/>
        </a:stretch>
      </xdr:blipFill>
      <xdr:spPr>
        <a:xfrm>
          <a:off x="0" y="0"/>
          <a:ext cx="5123809" cy="9619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31750</xdr:colOff>
      <xdr:row>25</xdr:row>
      <xdr:rowOff>12700</xdr:rowOff>
    </xdr:from>
    <xdr:to>
      <xdr:col>1</xdr:col>
      <xdr:colOff>2279650</xdr:colOff>
      <xdr:row>41</xdr:row>
      <xdr:rowOff>63500</xdr:rowOff>
    </xdr:to>
    <xdr:graphicFrame macro="">
      <xdr:nvGraphicFramePr>
        <xdr:cNvPr id="2" name="Kaavi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9</xdr:row>
      <xdr:rowOff>22225</xdr:rowOff>
    </xdr:from>
    <xdr:to>
      <xdr:col>1</xdr:col>
      <xdr:colOff>2286000</xdr:colOff>
      <xdr:row>24</xdr:row>
      <xdr:rowOff>9525</xdr:rowOff>
    </xdr:to>
    <xdr:graphicFrame macro="">
      <xdr:nvGraphicFramePr>
        <xdr:cNvPr id="3" name="Kaavi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3174</xdr:rowOff>
    </xdr:from>
    <xdr:to>
      <xdr:col>1</xdr:col>
      <xdr:colOff>2273300</xdr:colOff>
      <xdr:row>60</xdr:row>
      <xdr:rowOff>25399</xdr:rowOff>
    </xdr:to>
    <xdr:graphicFrame macro="">
      <xdr:nvGraphicFramePr>
        <xdr:cNvPr id="4" name="Kaavio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256534</xdr:colOff>
      <xdr:row>0</xdr:row>
      <xdr:rowOff>961905</xdr:rowOff>
    </xdr:to>
    <xdr:pic>
      <xdr:nvPicPr>
        <xdr:cNvPr id="7" name="Kuva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4"/>
        <a:stretch>
          <a:fillRect/>
        </a:stretch>
      </xdr:blipFill>
      <xdr:spPr>
        <a:xfrm>
          <a:off x="0" y="0"/>
          <a:ext cx="5123809" cy="96190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1:A5" totalsRowShown="0">
  <autoFilter ref="A1:A5" xr:uid="{00000000-0009-0000-0100-000002000000}"/>
  <tableColumns count="1">
    <tableColumn id="1" xr3:uid="{00000000-0010-0000-0000-000001000000}" name="Ventilation syste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ulukko3" displayName="Taulukko3" ref="A1:A5" totalsRowShown="0">
  <autoFilter ref="A1:A5" xr:uid="{00000000-0009-0000-0100-000003000000}"/>
  <tableColumns count="1">
    <tableColumn id="1" xr3:uid="{00000000-0010-0000-0100-000001000000}" name="Cooling syste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ulukko4" displayName="Taulukko4" ref="A1:A8" totalsRowShown="0" dataDxfId="44">
  <autoFilter ref="A1:A8" xr:uid="{00000000-0009-0000-0100-000004000000}"/>
  <tableColumns count="1">
    <tableColumn id="1" xr3:uid="{00000000-0010-0000-0200-000001000000}" name="Type of building" dataDxfId="4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ulukko5" displayName="Taulukko5" ref="A1:A6" totalsRowShown="0" headerRowDxfId="23" tableBorderDxfId="22">
  <autoFilter ref="A1:A6" xr:uid="{00000000-0009-0000-0100-000001000000}"/>
  <tableColumns count="1">
    <tableColumn id="1" xr3:uid="{00000000-0010-0000-0300-000001000000}" name="Heating system"/>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pageSetUpPr fitToPage="1"/>
  </sheetPr>
  <dimension ref="A1:K38"/>
  <sheetViews>
    <sheetView topLeftCell="C1" workbookViewId="0">
      <selection activeCell="C20" sqref="C20"/>
    </sheetView>
  </sheetViews>
  <sheetFormatPr defaultRowHeight="15" x14ac:dyDescent="0.25"/>
  <cols>
    <col min="1" max="1" width="38.5703125" customWidth="1"/>
    <col min="2" max="2" width="35" customWidth="1"/>
    <col min="3" max="3" width="24.5703125" customWidth="1"/>
    <col min="4" max="4" width="4.42578125" customWidth="1"/>
    <col min="5" max="5" width="25.140625" customWidth="1"/>
    <col min="6" max="6" width="3.85546875" style="11" customWidth="1"/>
    <col min="7" max="7" width="28.85546875" customWidth="1"/>
    <col min="8" max="8" width="3.7109375" customWidth="1"/>
    <col min="9" max="9" width="16.7109375" customWidth="1"/>
    <col min="10" max="10" width="2.42578125" style="11" customWidth="1"/>
    <col min="11" max="11" width="5.140625" customWidth="1"/>
  </cols>
  <sheetData>
    <row r="1" spans="1:11" ht="18.75" x14ac:dyDescent="0.3">
      <c r="A1" s="21" t="s">
        <v>4</v>
      </c>
      <c r="E1" s="2" t="s">
        <v>23</v>
      </c>
      <c r="G1" s="2" t="s">
        <v>24</v>
      </c>
    </row>
    <row r="2" spans="1:11" x14ac:dyDescent="0.25">
      <c r="A2" s="6" t="s">
        <v>19</v>
      </c>
      <c r="B2" s="6"/>
      <c r="E2" s="23" t="s">
        <v>26</v>
      </c>
      <c r="G2" s="23" t="s">
        <v>25</v>
      </c>
    </row>
    <row r="3" spans="1:11" x14ac:dyDescent="0.25">
      <c r="E3" s="2"/>
      <c r="F3" s="10"/>
      <c r="G3" s="2"/>
    </row>
    <row r="4" spans="1:11" x14ac:dyDescent="0.25">
      <c r="C4" s="2" t="s">
        <v>11</v>
      </c>
      <c r="D4" s="2"/>
      <c r="E4" s="2" t="s">
        <v>22</v>
      </c>
      <c r="F4" s="10"/>
      <c r="G4" s="2" t="s">
        <v>22</v>
      </c>
      <c r="I4" s="17" t="s">
        <v>10</v>
      </c>
      <c r="J4" s="17"/>
      <c r="K4" s="10" t="s">
        <v>21</v>
      </c>
    </row>
    <row r="5" spans="1:11" x14ac:dyDescent="0.25">
      <c r="A5" s="11"/>
      <c r="B5" s="12"/>
      <c r="C5" s="13" t="s">
        <v>9</v>
      </c>
      <c r="D5" s="13"/>
      <c r="E5" s="13"/>
      <c r="F5" s="12"/>
      <c r="K5" s="11"/>
    </row>
    <row r="6" spans="1:11" x14ac:dyDescent="0.25">
      <c r="A6" s="2" t="s">
        <v>3</v>
      </c>
      <c r="B6" s="4"/>
      <c r="C6" s="4">
        <f>G6+E6</f>
        <v>82000</v>
      </c>
      <c r="D6" s="4"/>
      <c r="E6" s="7">
        <v>-2500</v>
      </c>
      <c r="F6" s="12"/>
      <c r="G6" s="8">
        <v>84500</v>
      </c>
      <c r="I6" s="7">
        <v>640000</v>
      </c>
      <c r="J6" s="12"/>
      <c r="K6" s="14">
        <v>0.02</v>
      </c>
    </row>
    <row r="7" spans="1:11" x14ac:dyDescent="0.25">
      <c r="A7" s="2"/>
      <c r="B7" s="4"/>
      <c r="C7" s="4"/>
      <c r="D7" s="4"/>
      <c r="E7" s="7"/>
      <c r="F7" s="12"/>
      <c r="G7" s="8"/>
      <c r="I7" s="7"/>
      <c r="J7" s="12"/>
      <c r="K7" s="14"/>
    </row>
    <row r="8" spans="1:11" x14ac:dyDescent="0.25">
      <c r="A8" s="2" t="s">
        <v>18</v>
      </c>
      <c r="B8" s="4"/>
      <c r="C8" s="4">
        <v>10000</v>
      </c>
      <c r="D8" s="4"/>
      <c r="E8" s="7">
        <f>C8</f>
        <v>10000</v>
      </c>
      <c r="F8" s="12"/>
      <c r="G8" s="6"/>
      <c r="I8" s="7">
        <f>600*40</f>
        <v>24000</v>
      </c>
      <c r="J8" s="12"/>
      <c r="K8" s="14">
        <v>0.02</v>
      </c>
    </row>
    <row r="9" spans="1:11" x14ac:dyDescent="0.25">
      <c r="A9" s="2"/>
      <c r="B9" s="4"/>
      <c r="C9" s="4"/>
      <c r="D9" s="4"/>
      <c r="E9" s="7"/>
      <c r="F9" s="12"/>
      <c r="G9" s="6"/>
      <c r="I9" s="7"/>
      <c r="J9" s="12"/>
      <c r="K9" s="14"/>
    </row>
    <row r="10" spans="1:11" x14ac:dyDescent="0.25">
      <c r="A10" s="2" t="s">
        <v>7</v>
      </c>
      <c r="B10" s="4"/>
      <c r="C10" s="4">
        <v>8500</v>
      </c>
      <c r="D10" s="4"/>
      <c r="E10" s="7">
        <f>C10</f>
        <v>8500</v>
      </c>
      <c r="F10" s="12"/>
      <c r="G10" s="6"/>
      <c r="I10" s="7">
        <v>18000</v>
      </c>
      <c r="J10" s="12"/>
      <c r="K10" s="14">
        <v>0.02</v>
      </c>
    </row>
    <row r="11" spans="1:11" x14ac:dyDescent="0.25">
      <c r="A11" s="2"/>
      <c r="B11" s="4"/>
      <c r="C11" s="4"/>
      <c r="D11" s="4"/>
      <c r="E11" s="7"/>
      <c r="F11" s="12"/>
      <c r="G11" s="6"/>
      <c r="I11" s="7"/>
      <c r="J11" s="12"/>
      <c r="K11" s="14"/>
    </row>
    <row r="12" spans="1:11" x14ac:dyDescent="0.25">
      <c r="A12" s="2" t="s">
        <v>8</v>
      </c>
      <c r="B12" s="4"/>
      <c r="C12" s="4">
        <f>500*30</f>
        <v>15000</v>
      </c>
      <c r="D12" s="4"/>
      <c r="E12" s="6"/>
      <c r="F12" s="12"/>
      <c r="G12" s="7">
        <f>C12</f>
        <v>15000</v>
      </c>
      <c r="I12" s="7">
        <f>600*30</f>
        <v>18000</v>
      </c>
      <c r="J12" s="12"/>
      <c r="K12" s="14">
        <v>0.02</v>
      </c>
    </row>
    <row r="13" spans="1:11" x14ac:dyDescent="0.25">
      <c r="A13" s="2"/>
      <c r="B13" s="4"/>
      <c r="C13" s="4"/>
      <c r="D13" s="4"/>
      <c r="E13" s="7"/>
      <c r="F13" s="12"/>
      <c r="G13" s="6"/>
      <c r="I13" s="7"/>
      <c r="J13" s="12"/>
      <c r="K13" s="14"/>
    </row>
    <row r="14" spans="1:11" x14ac:dyDescent="0.25">
      <c r="A14" s="2" t="s">
        <v>2</v>
      </c>
      <c r="B14" s="4"/>
      <c r="C14" s="4">
        <v>200000</v>
      </c>
      <c r="D14" s="4"/>
      <c r="E14" s="7">
        <v>-100000</v>
      </c>
      <c r="F14" s="12"/>
      <c r="G14" s="8">
        <v>300000</v>
      </c>
      <c r="I14" s="7">
        <v>200000</v>
      </c>
      <c r="J14" s="12"/>
      <c r="K14" s="14">
        <v>0.02</v>
      </c>
    </row>
    <row r="15" spans="1:11" x14ac:dyDescent="0.25">
      <c r="A15" s="2"/>
      <c r="B15" s="4"/>
      <c r="C15" s="4"/>
      <c r="D15" s="4"/>
      <c r="E15" s="7"/>
      <c r="F15" s="12"/>
      <c r="G15" s="8"/>
      <c r="I15" s="7"/>
      <c r="J15" s="12"/>
      <c r="K15" s="14"/>
    </row>
    <row r="16" spans="1:11" x14ac:dyDescent="0.25">
      <c r="A16" s="2" t="s">
        <v>5</v>
      </c>
      <c r="B16" s="4"/>
      <c r="C16" s="4">
        <f>48*100*10*365/1000</f>
        <v>17520</v>
      </c>
      <c r="D16" s="4"/>
      <c r="E16" s="7">
        <f>C16</f>
        <v>17520</v>
      </c>
      <c r="F16" s="12"/>
      <c r="G16" s="8"/>
      <c r="I16" s="7">
        <f>100*10</f>
        <v>1000</v>
      </c>
      <c r="J16" s="12"/>
      <c r="K16" s="14">
        <v>0.02</v>
      </c>
    </row>
    <row r="17" spans="1:11" x14ac:dyDescent="0.25">
      <c r="A17" s="2"/>
      <c r="C17" s="4"/>
      <c r="D17" s="4"/>
      <c r="E17" s="7"/>
      <c r="F17" s="12"/>
      <c r="G17" s="8"/>
      <c r="I17" s="7"/>
      <c r="J17" s="12"/>
      <c r="K17" s="14"/>
    </row>
    <row r="18" spans="1:11" x14ac:dyDescent="0.25">
      <c r="A18" s="2" t="s">
        <v>6</v>
      </c>
      <c r="B18" s="4"/>
      <c r="C18" s="4">
        <f>0.2*400000</f>
        <v>80000</v>
      </c>
      <c r="D18" s="4"/>
      <c r="E18" s="7">
        <f>0.5*C18</f>
        <v>40000</v>
      </c>
      <c r="F18" s="12"/>
      <c r="G18" s="8">
        <f>0.5*C18</f>
        <v>40000</v>
      </c>
      <c r="I18" s="7">
        <v>10000</v>
      </c>
      <c r="J18" s="12"/>
      <c r="K18" s="14">
        <v>0.02</v>
      </c>
    </row>
    <row r="19" spans="1:11" x14ac:dyDescent="0.25">
      <c r="B19" s="4"/>
      <c r="C19" s="4"/>
      <c r="D19" s="4"/>
      <c r="E19" s="7"/>
      <c r="F19" s="12"/>
      <c r="G19" s="6"/>
      <c r="I19" s="7"/>
      <c r="J19" s="12"/>
      <c r="K19" s="14"/>
    </row>
    <row r="20" spans="1:11" x14ac:dyDescent="0.25">
      <c r="A20" s="19" t="s">
        <v>20</v>
      </c>
      <c r="B20" s="2"/>
      <c r="C20" s="18">
        <f>SUM(C6:C18)</f>
        <v>413020</v>
      </c>
      <c r="D20" s="18"/>
      <c r="E20" s="18">
        <f>SUM(E6:E18)</f>
        <v>-26480</v>
      </c>
      <c r="F20" s="9"/>
      <c r="G20" s="18">
        <f>SUM(G6:G18)</f>
        <v>439500</v>
      </c>
      <c r="I20" s="16">
        <f>I6+I8+I10+I12+I14+I16+I18</f>
        <v>911000</v>
      </c>
      <c r="J20" s="12"/>
      <c r="K20" s="22">
        <f>SUM(K6:K19)</f>
        <v>0.14000000000000001</v>
      </c>
    </row>
    <row r="21" spans="1:11" x14ac:dyDescent="0.25">
      <c r="B21" s="4"/>
    </row>
    <row r="22" spans="1:11" x14ac:dyDescent="0.25">
      <c r="B22" s="4"/>
    </row>
    <row r="28" spans="1:11" x14ac:dyDescent="0.25">
      <c r="A28" s="1"/>
      <c r="B28" s="4"/>
      <c r="C28" s="4"/>
      <c r="D28" s="4"/>
      <c r="E28" s="4"/>
      <c r="F28" s="12"/>
    </row>
    <row r="29" spans="1:11" x14ac:dyDescent="0.25">
      <c r="A29" s="1"/>
      <c r="B29" s="4"/>
      <c r="C29" s="4"/>
      <c r="D29" s="4"/>
      <c r="E29" s="4"/>
      <c r="F29" s="12"/>
    </row>
    <row r="30" spans="1:11" x14ac:dyDescent="0.25">
      <c r="B30" s="4"/>
      <c r="C30" s="4"/>
      <c r="D30" s="4"/>
      <c r="E30" s="4"/>
      <c r="F30" s="12"/>
    </row>
    <row r="31" spans="1:11" x14ac:dyDescent="0.25">
      <c r="B31" s="4"/>
      <c r="C31" s="4"/>
      <c r="D31" s="4"/>
      <c r="E31" s="12"/>
    </row>
    <row r="32" spans="1:11" x14ac:dyDescent="0.25">
      <c r="B32" s="4"/>
      <c r="C32" s="4"/>
      <c r="D32" s="4"/>
      <c r="E32" s="12"/>
      <c r="F32" s="12"/>
    </row>
    <row r="33" spans="2:5" x14ac:dyDescent="0.25">
      <c r="B33" s="4"/>
      <c r="C33" s="4"/>
      <c r="D33" s="4"/>
      <c r="E33" s="11"/>
    </row>
    <row r="34" spans="2:5" x14ac:dyDescent="0.25">
      <c r="E34" s="11"/>
    </row>
    <row r="38" spans="2:5" x14ac:dyDescent="0.25">
      <c r="B38" s="3"/>
    </row>
  </sheetData>
  <pageMargins left="0.7" right="0.7" top="0.75" bottom="0.75" header="0.3" footer="0.3"/>
  <pageSetup paperSize="9"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ul11">
    <pageSetUpPr fitToPage="1"/>
  </sheetPr>
  <dimension ref="H1:N54"/>
  <sheetViews>
    <sheetView topLeftCell="A10" zoomScaleNormal="100" workbookViewId="0">
      <selection activeCell="L11" sqref="L11"/>
    </sheetView>
  </sheetViews>
  <sheetFormatPr defaultRowHeight="15" x14ac:dyDescent="0.25"/>
  <cols>
    <col min="10" max="10" width="0" hidden="1" customWidth="1"/>
    <col min="11" max="11" width="32.5703125" customWidth="1"/>
    <col min="12" max="12" width="27.28515625" customWidth="1"/>
    <col min="13" max="13" width="33.42578125" customWidth="1"/>
    <col min="14" max="14" width="15.140625" customWidth="1"/>
  </cols>
  <sheetData>
    <row r="1" spans="8:14" x14ac:dyDescent="0.25">
      <c r="H1" t="s">
        <v>109</v>
      </c>
      <c r="I1" t="s">
        <v>110</v>
      </c>
      <c r="J1" s="5"/>
      <c r="K1" t="s">
        <v>128</v>
      </c>
      <c r="L1" t="s">
        <v>129</v>
      </c>
      <c r="M1" t="s">
        <v>130</v>
      </c>
      <c r="N1" t="s">
        <v>131</v>
      </c>
    </row>
    <row r="2" spans="8:14" x14ac:dyDescent="0.25">
      <c r="J2" s="2" t="s">
        <v>49</v>
      </c>
      <c r="K2" s="2" t="str">
        <f>'2. Inputs and results'!B19</f>
        <v xml:space="preserve">Ventilation system with heat recovery </v>
      </c>
      <c r="L2" s="2" t="str">
        <f>'2. Inputs and results'!C19</f>
        <v>Geothermal heat pump system</v>
      </c>
      <c r="M2" s="2" t="str">
        <f>'2. Inputs and results'!B19</f>
        <v xml:space="preserve">Ventilation system with heat recovery </v>
      </c>
      <c r="N2" s="2" t="str">
        <f>'2. Inputs and results'!C19</f>
        <v>Geothermal heat pump system</v>
      </c>
    </row>
    <row r="3" spans="8:14" x14ac:dyDescent="0.25">
      <c r="J3" s="2"/>
      <c r="M3" s="2" t="s">
        <v>71</v>
      </c>
      <c r="N3" s="2" t="s">
        <v>71</v>
      </c>
    </row>
    <row r="4" spans="8:14" x14ac:dyDescent="0.25">
      <c r="H4">
        <f>'Solution 1, (hidden)'!B5</f>
        <v>0</v>
      </c>
      <c r="I4">
        <f>'Solution  2, (hidden)'!B5</f>
        <v>0</v>
      </c>
      <c r="J4">
        <f>IF('2. Inputs and results'!$C$21&gt;='2. Inputs and results'!$B$21,'Solution  2, (hidden)'!A5,'Solution 1, (hidden)'!A5)</f>
        <v>0</v>
      </c>
      <c r="K4" s="26">
        <f>'Solution 1, (hidden)'!AD5</f>
        <v>0</v>
      </c>
      <c r="L4" s="26">
        <f>'Solution  2, (hidden)'!AD5</f>
        <v>0</v>
      </c>
      <c r="M4" s="26">
        <f>'Solution 1, (hidden)'!AB5</f>
        <v>0</v>
      </c>
      <c r="N4" s="26">
        <f>'Solution  2, (hidden)'!AB5</f>
        <v>0</v>
      </c>
    </row>
    <row r="5" spans="8:14" x14ac:dyDescent="0.25">
      <c r="H5">
        <f>'Solution 1, (hidden)'!B6</f>
        <v>1</v>
      </c>
      <c r="I5">
        <f>'Solution  2, (hidden)'!B6</f>
        <v>1</v>
      </c>
      <c r="J5">
        <f>IF('2. Inputs and results'!$C$21&gt;='2. Inputs and results'!$B$21,'Solution  2, (hidden)'!B6,'Solution 1, (hidden)'!B6)</f>
        <v>1</v>
      </c>
      <c r="K5" s="26">
        <f>'Solution 1, (hidden)'!AD6</f>
        <v>4.1508951406649619E-2</v>
      </c>
      <c r="L5" s="26">
        <f>'Solution  2, (hidden)'!AD6</f>
        <v>8.4000000000000005E-2</v>
      </c>
      <c r="M5" s="26">
        <f>'Solution 1, (hidden)'!AB6</f>
        <v>4.1508951406649619E-2</v>
      </c>
      <c r="N5" s="26">
        <f>'Solution  2, (hidden)'!AB6</f>
        <v>8.4000000000000005E-2</v>
      </c>
    </row>
    <row r="6" spans="8:14" x14ac:dyDescent="0.25">
      <c r="H6">
        <f>'Solution 1, (hidden)'!B7</f>
        <v>2</v>
      </c>
      <c r="I6">
        <f>'Solution  2, (hidden)'!B7</f>
        <v>2</v>
      </c>
      <c r="J6">
        <f>IF('2. Inputs and results'!$C$21&gt;='2. Inputs and results'!$B$21,'Solution  2, (hidden)'!B7,'Solution 1, (hidden)'!B7)</f>
        <v>2</v>
      </c>
      <c r="K6" s="26">
        <f>'Solution 1, (hidden)'!AD7</f>
        <v>8.384808184143222E-2</v>
      </c>
      <c r="L6" s="26">
        <f>'Solution  2, (hidden)'!AD7</f>
        <v>0.16968</v>
      </c>
      <c r="M6" s="26">
        <f>'Solution 1, (hidden)'!AB7</f>
        <v>8.6046291560102295E-2</v>
      </c>
      <c r="N6" s="26">
        <f>'Solution  2, (hidden)'!AB7</f>
        <v>0.17315294117647059</v>
      </c>
    </row>
    <row r="7" spans="8:14" x14ac:dyDescent="0.25">
      <c r="H7">
        <f>'Solution 1, (hidden)'!B8</f>
        <v>3</v>
      </c>
      <c r="I7">
        <f>'Solution  2, (hidden)'!B8</f>
        <v>3</v>
      </c>
      <c r="J7">
        <f>IF('2. Inputs and results'!$C$21&gt;='2. Inputs and results'!$B$21,'Solution  2, (hidden)'!B8,'Solution 1, (hidden)'!B8)</f>
        <v>3</v>
      </c>
      <c r="K7" s="26">
        <f>'Solution 1, (hidden)'!AD8</f>
        <v>0.12703399488491049</v>
      </c>
      <c r="L7" s="26">
        <f>'Solution  2, (hidden)'!AD8</f>
        <v>0.25707360000000001</v>
      </c>
      <c r="M7" s="26">
        <f>'Solution 1, (hidden)'!AB8</f>
        <v>0.13373853452685422</v>
      </c>
      <c r="N7" s="26">
        <f>'Solution  2, (hidden)'!AB8</f>
        <v>0.26766607058823527</v>
      </c>
    </row>
    <row r="8" spans="8:14" x14ac:dyDescent="0.25">
      <c r="H8">
        <f>'Solution 1, (hidden)'!B9</f>
        <v>4</v>
      </c>
      <c r="I8">
        <f>'Solution  2, (hidden)'!B9</f>
        <v>4</v>
      </c>
      <c r="J8">
        <f>IF('2. Inputs and results'!$C$21&gt;='2. Inputs and results'!$B$21,'Solution  2, (hidden)'!B9,'Solution 1, (hidden)'!B9)</f>
        <v>4</v>
      </c>
      <c r="K8" s="26">
        <f>'Solution 1, (hidden)'!AD9</f>
        <v>0.17108362618925832</v>
      </c>
      <c r="L8" s="26">
        <f>'Solution  2, (hidden)'!AD9</f>
        <v>0.34621507200000001</v>
      </c>
      <c r="M8" s="26">
        <f>'Solution 1, (hidden)'!AB9</f>
        <v>0.18471670304347826</v>
      </c>
      <c r="N8" s="26">
        <f>'Solution  2, (hidden)'!AB9</f>
        <v>0.36775390588235296</v>
      </c>
    </row>
    <row r="9" spans="8:14" x14ac:dyDescent="0.25">
      <c r="H9">
        <f>'Solution 1, (hidden)'!B10</f>
        <v>5</v>
      </c>
      <c r="I9">
        <f>'Solution  2, (hidden)'!B10</f>
        <v>5</v>
      </c>
      <c r="J9">
        <f>IF('2. Inputs and results'!$C$21&gt;='2. Inputs and results'!$B$21,'Solution  2, (hidden)'!B10,'Solution 1, (hidden)'!B10)</f>
        <v>5</v>
      </c>
      <c r="K9" s="26">
        <f>'Solution 1, (hidden)'!AD10</f>
        <v>0.21601425011969308</v>
      </c>
      <c r="L9" s="26">
        <f>'Solution  2, (hidden)'!AD10</f>
        <v>0.43713937343999998</v>
      </c>
      <c r="M9" s="26">
        <f>'Solution 1, (hidden)'!AB10</f>
        <v>0.23911647804168798</v>
      </c>
      <c r="N9" s="26">
        <f>'Solution  2, (hidden)'!AB10</f>
        <v>0.47363847447529422</v>
      </c>
    </row>
    <row r="10" spans="8:14" x14ac:dyDescent="0.25">
      <c r="H10">
        <f>'Solution 1, (hidden)'!B11</f>
        <v>6</v>
      </c>
      <c r="I10">
        <f>'Solution  2, (hidden)'!B11</f>
        <v>6</v>
      </c>
      <c r="J10">
        <f>IF('2. Inputs and results'!$C$21&gt;='2. Inputs and results'!$B$21,'Solution  2, (hidden)'!B11,'Solution 1, (hidden)'!B11)</f>
        <v>6</v>
      </c>
      <c r="K10" s="26">
        <f>'Solution 1, (hidden)'!AD11</f>
        <v>0.26184348652873657</v>
      </c>
      <c r="L10" s="26">
        <f>'Solution  2, (hidden)'!AD11</f>
        <v>0.52988216090880003</v>
      </c>
      <c r="M10" s="26">
        <f>'Solution 1, (hidden)'!AB11</f>
        <v>0.29707835294445273</v>
      </c>
      <c r="N10" s="26">
        <f>'Solution  2, (hidden)'!AB11</f>
        <v>0.58554956033082373</v>
      </c>
    </row>
    <row r="11" spans="8:14" x14ac:dyDescent="0.25">
      <c r="H11">
        <f>'Solution 1, (hidden)'!B12</f>
        <v>7</v>
      </c>
      <c r="I11">
        <f>'Solution  2, (hidden)'!B12</f>
        <v>7</v>
      </c>
      <c r="J11">
        <f>IF('2. Inputs and results'!$C$21&gt;='2. Inputs and results'!$B$21,'Solution  2, (hidden)'!B12,'Solution 1, (hidden)'!B12)</f>
        <v>7</v>
      </c>
      <c r="K11" s="26">
        <f>'Solution 1, (hidden)'!AD12</f>
        <v>0.30858930766596093</v>
      </c>
      <c r="L11" s="26">
        <f>'Solution  2, (hidden)'!AD12</f>
        <v>0.62447980412697612</v>
      </c>
      <c r="M11" s="26">
        <f>'Solution 1, (hidden)'!AB12</f>
        <v>0.3587477928820012</v>
      </c>
      <c r="N11" s="26">
        <f>'Solution  2, (hidden)'!AB12</f>
        <v>0.7037249585709151</v>
      </c>
    </row>
    <row r="12" spans="8:14" x14ac:dyDescent="0.25">
      <c r="H12">
        <f>'Solution 1, (hidden)'!B13</f>
        <v>8</v>
      </c>
      <c r="I12">
        <f>'Solution  2, (hidden)'!B13</f>
        <v>8</v>
      </c>
      <c r="J12">
        <f>IF('2. Inputs and results'!$C$21&gt;='2. Inputs and results'!$B$21,'Solution  2, (hidden)'!B13,'Solution 1, (hidden)'!B13)</f>
        <v>8</v>
      </c>
      <c r="K12" s="26">
        <f>'Solution 1, (hidden)'!AD13</f>
        <v>0.35627004522592975</v>
      </c>
      <c r="L12" s="26">
        <f>'Solution  2, (hidden)'!AD13</f>
        <v>0.72096940020951561</v>
      </c>
      <c r="M12" s="26">
        <f>'Solution 1, (hidden)'!AB13</f>
        <v>0.42427539898113115</v>
      </c>
      <c r="N12" s="26">
        <f>'Solution  2, (hidden)'!AB13</f>
        <v>0.82841073816328314</v>
      </c>
    </row>
    <row r="13" spans="8:14" x14ac:dyDescent="0.25">
      <c r="H13">
        <f>'Solution 1, (hidden)'!B14</f>
        <v>9</v>
      </c>
      <c r="I13">
        <f>'Solution  2, (hidden)'!B14</f>
        <v>9</v>
      </c>
      <c r="J13">
        <f>IF('2. Inputs and results'!$C$21&gt;='2. Inputs and results'!$B$21,'Solution  2, (hidden)'!B14,'Solution 1, (hidden)'!B14)</f>
        <v>9</v>
      </c>
      <c r="K13" s="26">
        <f>'Solution 1, (hidden)'!AD14</f>
        <v>0.40490439753709795</v>
      </c>
      <c r="L13" s="26">
        <f>'Solution  2, (hidden)'!AD14</f>
        <v>0.81938878821370598</v>
      </c>
      <c r="M13" s="26">
        <f>'Solution 1, (hidden)'!AB14</f>
        <v>0.49381707788595885</v>
      </c>
      <c r="N13" s="26">
        <f>'Solution  2, (hidden)'!AB14</f>
        <v>0.95986151293659761</v>
      </c>
    </row>
    <row r="14" spans="8:14" x14ac:dyDescent="0.25">
      <c r="H14">
        <f>'Solution 1, (hidden)'!B15</f>
        <v>10</v>
      </c>
      <c r="I14">
        <f>'Solution  2, (hidden)'!B15</f>
        <v>10</v>
      </c>
      <c r="J14">
        <f>IF('2. Inputs and results'!$C$21&gt;='2. Inputs and results'!$B$21,'Solution  2, (hidden)'!B15,'Solution 1, (hidden)'!B15)</f>
        <v>10</v>
      </c>
      <c r="K14" s="26">
        <f>'Solution 1, (hidden)'!AD15</f>
        <v>0.45451143689448947</v>
      </c>
      <c r="L14" s="26">
        <f>'Solution  2, (hidden)'!AD15</f>
        <v>0.91977656397798013</v>
      </c>
      <c r="M14" s="26">
        <f>'Solution 1, (hidden)'!AB15</f>
        <v>0.56753421667310988</v>
      </c>
      <c r="N14" s="26">
        <f>'Solution  2, (hidden)'!AB15</f>
        <v>1.0983407211821503</v>
      </c>
    </row>
    <row r="15" spans="8:14" x14ac:dyDescent="0.25">
      <c r="H15">
        <f>'Solution 1, (hidden)'!B16</f>
        <v>11</v>
      </c>
      <c r="I15">
        <f>'Solution  2, (hidden)'!B16</f>
        <v>11</v>
      </c>
      <c r="J15">
        <f>IF('2. Inputs and results'!$C$21&gt;='2. Inputs and results'!$B$21,'Solution  2, (hidden)'!B16,'Solution 1, (hidden)'!B16)</f>
        <v>11</v>
      </c>
      <c r="K15" s="26">
        <f>'Solution 1, (hidden)'!AD16</f>
        <v>0.50511061703902893</v>
      </c>
      <c r="L15" s="26">
        <f>'Solution  2, (hidden)'!AD16</f>
        <v>1.0221720952575397</v>
      </c>
      <c r="M15" s="26">
        <f>'Solution 1, (hidden)'!AB16</f>
        <v>0.64559386332935742</v>
      </c>
      <c r="N15" s="26">
        <f>'Solution  2, (hidden)'!AB16</f>
        <v>1.2421540996850462</v>
      </c>
    </row>
    <row r="16" spans="8:14" x14ac:dyDescent="0.25">
      <c r="H16">
        <f>'Solution 1, (hidden)'!B17</f>
        <v>12</v>
      </c>
      <c r="I16">
        <f>'Solution  2, (hidden)'!B17</f>
        <v>12</v>
      </c>
      <c r="J16">
        <f>IF('2. Inputs and results'!$C$21&gt;='2. Inputs and results'!$B$21,'Solution  2, (hidden)'!B17,'Solution 1, (hidden)'!B17)</f>
        <v>12</v>
      </c>
      <c r="K16" s="26">
        <f>'Solution 1, (hidden)'!AD17</f>
        <v>0.55672178078645917</v>
      </c>
      <c r="L16" s="26">
        <f>'Solution  2, (hidden)'!AD17</f>
        <v>1.1261720952575398</v>
      </c>
      <c r="M16" s="26">
        <f>'Solution 1, (hidden)'!AB17</f>
        <v>0.72816891296488429</v>
      </c>
      <c r="N16" s="26">
        <f>'Solution  2, (hidden)'!AB17</f>
        <v>1.3906348207194998</v>
      </c>
    </row>
    <row r="17" spans="8:14" x14ac:dyDescent="0.25">
      <c r="H17">
        <f>'Solution 1, (hidden)'!B18</f>
        <v>13</v>
      </c>
      <c r="I17">
        <f>'Solution  2, (hidden)'!B18</f>
        <v>13</v>
      </c>
      <c r="J17">
        <f>IF('2. Inputs and results'!$C$21&gt;='2. Inputs and results'!$B$21,'Solution  2, (hidden)'!B18,'Solution 1, (hidden)'!B18)</f>
        <v>13</v>
      </c>
      <c r="K17" s="26">
        <f>'Solution 1, (hidden)'!AD18</f>
        <v>0.60936516780883798</v>
      </c>
      <c r="L17" s="26">
        <f>'Solution  2, (hidden)'!AD18</f>
        <v>1.2301720952575397</v>
      </c>
      <c r="M17" s="26">
        <f>'Solution 1, (hidden)'!AB18</f>
        <v>0.8154382999406603</v>
      </c>
      <c r="N17" s="26">
        <f>'Solution  2, (hidden)'!AB18</f>
        <v>1.5439229045614578</v>
      </c>
    </row>
    <row r="18" spans="8:14" x14ac:dyDescent="0.25">
      <c r="H18">
        <f>'Solution 1, (hidden)'!B19</f>
        <v>14</v>
      </c>
      <c r="I18">
        <f>'Solution  2, (hidden)'!B19</f>
        <v>14</v>
      </c>
      <c r="J18">
        <f>IF('2. Inputs and results'!$C$21&gt;='2. Inputs and results'!$B$21,'Solution  2, (hidden)'!B19,'Solution 1, (hidden)'!B19)</f>
        <v>14</v>
      </c>
      <c r="K18" s="26">
        <f>'Solution 1, (hidden)'!AD19</f>
        <v>0.66306142257166445</v>
      </c>
      <c r="L18" s="26">
        <f>'Solution  2, (hidden)'!AD19</f>
        <v>1.3341720952575395</v>
      </c>
      <c r="M18" s="26">
        <f>'Solution 1, (hidden)'!AB19</f>
        <v>0.90758719609391691</v>
      </c>
      <c r="N18" s="26">
        <f>'Solution  2, (hidden)'!AB19</f>
        <v>1.7021625720951448</v>
      </c>
    </row>
    <row r="19" spans="8:14" x14ac:dyDescent="0.25">
      <c r="H19">
        <f>'Solution 1, (hidden)'!B20</f>
        <v>15</v>
      </c>
      <c r="I19">
        <f>'Solution  2, (hidden)'!B20</f>
        <v>15</v>
      </c>
      <c r="J19">
        <f>IF('2. Inputs and results'!$C$21&gt;='2. Inputs and results'!$B$21,'Solution  2, (hidden)'!B20,'Solution 1, (hidden)'!B20)</f>
        <v>15</v>
      </c>
      <c r="K19" s="26">
        <f>'Solution 1, (hidden)'!AD20</f>
        <v>0.71783160242974731</v>
      </c>
      <c r="L19" s="26">
        <f>'Solution  2, (hidden)'!AD20</f>
        <v>1.4381720952575396</v>
      </c>
      <c r="M19" s="26">
        <f>'Solution 1, (hidden)'!AB20</f>
        <v>1.0048072152513423</v>
      </c>
      <c r="N19" s="26">
        <f>'Solution  2, (hidden)'!AB20</f>
        <v>1.8655023708313132</v>
      </c>
    </row>
    <row r="20" spans="8:14" x14ac:dyDescent="0.25">
      <c r="H20">
        <f>'Solution 1, (hidden)'!B21</f>
        <v>16</v>
      </c>
      <c r="I20">
        <f>'Solution  2, (hidden)'!B21</f>
        <v>16</v>
      </c>
      <c r="J20">
        <f>IF('2. Inputs and results'!$C$21&gt;='2. Inputs and results'!$B$21,'Solution  2, (hidden)'!B21,'Solution 1, (hidden)'!B21)</f>
        <v>16</v>
      </c>
      <c r="K20" s="26">
        <f>'Solution 1, (hidden)'!AD21</f>
        <v>0.77369718588499181</v>
      </c>
      <c r="L20" s="26">
        <f>'Solution  2, (hidden)'!AD21</f>
        <v>1.5421720952575397</v>
      </c>
      <c r="M20" s="26">
        <f>'Solution 1, (hidden)'!AB21</f>
        <v>1.1072004799204265</v>
      </c>
      <c r="N20" s="26">
        <f>'Solution  2, (hidden)'!AB21</f>
        <v>2.0340953047060371</v>
      </c>
    </row>
    <row r="21" spans="8:14" x14ac:dyDescent="0.25">
      <c r="H21">
        <f>'Solution 1, (hidden)'!B22</f>
        <v>17</v>
      </c>
      <c r="I21">
        <f>'Solution  2, (hidden)'!B22</f>
        <v>17</v>
      </c>
      <c r="J21">
        <f>IF('2. Inputs and results'!$C$21&gt;='2. Inputs and results'!$B$21,'Solution  2, (hidden)'!B22,'Solution 1, (hidden)'!B22)</f>
        <v>17</v>
      </c>
      <c r="K21" s="26">
        <f>'Solution 1, (hidden)'!AD22</f>
        <v>0.83068008100934132</v>
      </c>
      <c r="L21" s="26">
        <f>'Solution  2, (hidden)'!AD22</f>
        <v>1.6461720952575396</v>
      </c>
      <c r="M21" s="26">
        <f>'Solution 1, (hidden)'!AB22</f>
        <v>1.2130184837060538</v>
      </c>
      <c r="N21" s="26">
        <f>'Solution  2, (hidden)'!AB22</f>
        <v>2.208098967773473</v>
      </c>
    </row>
    <row r="22" spans="8:14" x14ac:dyDescent="0.25">
      <c r="H22">
        <f>'Solution 1, (hidden)'!B23</f>
        <v>18</v>
      </c>
      <c r="I22">
        <f>'Solution  2, (hidden)'!B23</f>
        <v>18</v>
      </c>
      <c r="J22">
        <f>IF('2. Inputs and results'!$C$21&gt;='2. Inputs and results'!$B$21,'Solution  2, (hidden)'!B23,'Solution 1, (hidden)'!B23)</f>
        <v>18</v>
      </c>
      <c r="K22" s="26">
        <f>'Solution 1, (hidden)'!AD23</f>
        <v>0.88880263403617776</v>
      </c>
      <c r="L22" s="26">
        <f>'Solution  2, (hidden)'!AD23</f>
        <v>1.7501720952575397</v>
      </c>
      <c r="M22" s="26">
        <f>'Solution 1, (hidden)'!AB23</f>
        <v>1.3223639687817206</v>
      </c>
      <c r="N22" s="26">
        <f>'Solution  2, (hidden)'!AB23</f>
        <v>2.3876756819094029</v>
      </c>
    </row>
    <row r="23" spans="8:14" x14ac:dyDescent="0.25">
      <c r="H23">
        <f>'Solution 1, (hidden)'!B24</f>
        <v>19</v>
      </c>
      <c r="I23">
        <f>'Solution  2, (hidden)'!B24</f>
        <v>19</v>
      </c>
      <c r="J23">
        <f>IF('2. Inputs and results'!$C$21&gt;='2. Inputs and results'!$B$21,'Solution  2, (hidden)'!B24,'Solution 1, (hidden)'!B24)</f>
        <v>19</v>
      </c>
      <c r="K23" s="26">
        <f>'Solution 1, (hidden)'!AD24</f>
        <v>0.94808763812355101</v>
      </c>
      <c r="L23" s="26">
        <f>'Solution  2, (hidden)'!AD24</f>
        <v>1.8541720952575396</v>
      </c>
      <c r="M23" s="26">
        <f>'Solution 1, (hidden)'!AB24</f>
        <v>1.4353427595861279</v>
      </c>
      <c r="N23" s="26">
        <f>'Solution  2, (hidden)'!AB24</f>
        <v>2.5729926386458812</v>
      </c>
    </row>
    <row r="24" spans="8:14" x14ac:dyDescent="0.25">
      <c r="H24">
        <f>'Solution 1, (hidden)'!B25</f>
        <v>20</v>
      </c>
      <c r="I24">
        <f>'Solution  2, (hidden)'!B25</f>
        <v>20</v>
      </c>
      <c r="J24">
        <f>IF('2. Inputs and results'!$C$21&gt;='2. Inputs and results'!$B$21,'Solution  2, (hidden)'!B25,'Solution 1, (hidden)'!B25)</f>
        <v>20</v>
      </c>
      <c r="K24" s="26">
        <f>'Solution 1, (hidden)'!AD25</f>
        <v>1.0085583422926716</v>
      </c>
      <c r="L24" s="26">
        <f>'Solution  2, (hidden)'!AD25</f>
        <v>1.9581720952575397</v>
      </c>
      <c r="M24" s="26">
        <f>'Solution 1, (hidden)'!AB25</f>
        <v>1.5520638552911381</v>
      </c>
      <c r="N24" s="26">
        <f>'Solution  2, (hidden)'!AB25</f>
        <v>2.7642220452609241</v>
      </c>
    </row>
    <row r="25" spans="8:14" x14ac:dyDescent="0.25">
      <c r="H25" t="str">
        <f>'Solution 1, (hidden)'!B26</f>
        <v xml:space="preserve"> </v>
      </c>
      <c r="I25" t="str">
        <f>'Solution  2, (hidden)'!B26</f>
        <v xml:space="preserve"> </v>
      </c>
      <c r="J25" t="str">
        <f>IF('2. Inputs and results'!$C$21&gt;='2. Inputs and results'!$B$21,'Solution  2, (hidden)'!B26,'Solution 1, (hidden)'!B26)</f>
        <v xml:space="preserve"> </v>
      </c>
      <c r="K25" s="26" t="e">
        <f>'Solution 1, (hidden)'!AD26</f>
        <v>#N/A</v>
      </c>
      <c r="L25" s="26" t="e">
        <f>'Solution  2, (hidden)'!AD26</f>
        <v>#N/A</v>
      </c>
      <c r="M25" s="26" t="e">
        <f>'Solution 1, (hidden)'!AB26</f>
        <v>#N/A</v>
      </c>
      <c r="N25" s="26" t="e">
        <f>'Solution  2, (hidden)'!AB26</f>
        <v>#N/A</v>
      </c>
    </row>
    <row r="26" spans="8:14" x14ac:dyDescent="0.25">
      <c r="H26" t="str">
        <f>'Solution 1, (hidden)'!B27</f>
        <v xml:space="preserve"> </v>
      </c>
      <c r="I26" t="str">
        <f>'Solution  2, (hidden)'!B27</f>
        <v xml:space="preserve"> </v>
      </c>
      <c r="J26" t="str">
        <f>IF('2. Inputs and results'!$C$21&gt;='2. Inputs and results'!$B$21,'Solution  2, (hidden)'!B27,'Solution 1, (hidden)'!B27)</f>
        <v xml:space="preserve"> </v>
      </c>
      <c r="K26" s="26" t="e">
        <f>'Solution 1, (hidden)'!AD27</f>
        <v>#N/A</v>
      </c>
      <c r="L26" s="26" t="e">
        <f>'Solution  2, (hidden)'!AD27</f>
        <v>#N/A</v>
      </c>
      <c r="M26" s="26" t="e">
        <f>'Solution 1, (hidden)'!AB27</f>
        <v>#N/A</v>
      </c>
      <c r="N26" s="26" t="e">
        <f>'Solution  2, (hidden)'!AB27</f>
        <v>#N/A</v>
      </c>
    </row>
    <row r="27" spans="8:14" x14ac:dyDescent="0.25">
      <c r="H27" t="str">
        <f>'Solution 1, (hidden)'!B28</f>
        <v xml:space="preserve"> </v>
      </c>
      <c r="I27" t="str">
        <f>'Solution  2, (hidden)'!B28</f>
        <v xml:space="preserve"> </v>
      </c>
      <c r="J27" t="str">
        <f>IF('2. Inputs and results'!$C$21&gt;='2. Inputs and results'!$B$21,'Solution  2, (hidden)'!B28,'Solution 1, (hidden)'!B28)</f>
        <v xml:space="preserve"> </v>
      </c>
      <c r="K27" s="26" t="e">
        <f>'Solution 1, (hidden)'!AD28</f>
        <v>#N/A</v>
      </c>
      <c r="L27" s="26" t="e">
        <f>'Solution  2, (hidden)'!AD28</f>
        <v>#N/A</v>
      </c>
      <c r="M27" s="26" t="e">
        <f>'Solution 1, (hidden)'!AB28</f>
        <v>#N/A</v>
      </c>
      <c r="N27" s="26" t="e">
        <f>'Solution  2, (hidden)'!AB28</f>
        <v>#N/A</v>
      </c>
    </row>
    <row r="28" spans="8:14" x14ac:dyDescent="0.25">
      <c r="H28" t="str">
        <f>'Solution 1, (hidden)'!B29</f>
        <v xml:space="preserve"> </v>
      </c>
      <c r="I28" t="str">
        <f>'Solution  2, (hidden)'!B29</f>
        <v xml:space="preserve"> </v>
      </c>
      <c r="J28" t="str">
        <f>IF('2. Inputs and results'!$C$21&gt;='2. Inputs and results'!$B$21,'Solution  2, (hidden)'!B29,'Solution 1, (hidden)'!B29)</f>
        <v xml:space="preserve"> </v>
      </c>
      <c r="K28" s="26" t="e">
        <f>'Solution 1, (hidden)'!AD29</f>
        <v>#N/A</v>
      </c>
      <c r="L28" s="26" t="e">
        <f>'Solution  2, (hidden)'!AD29</f>
        <v>#N/A</v>
      </c>
      <c r="M28" s="26" t="e">
        <f>'Solution 1, (hidden)'!AB29</f>
        <v>#N/A</v>
      </c>
      <c r="N28" s="26" t="e">
        <f>'Solution  2, (hidden)'!AB29</f>
        <v>#N/A</v>
      </c>
    </row>
    <row r="29" spans="8:14" x14ac:dyDescent="0.25">
      <c r="H29" t="str">
        <f>'Solution 1, (hidden)'!B30</f>
        <v xml:space="preserve"> </v>
      </c>
      <c r="I29" t="str">
        <f>'Solution  2, (hidden)'!B30</f>
        <v xml:space="preserve"> </v>
      </c>
      <c r="J29" t="str">
        <f>IF('2. Inputs and results'!$C$21&gt;='2. Inputs and results'!$B$21,'Solution  2, (hidden)'!B30,'Solution 1, (hidden)'!B30)</f>
        <v xml:space="preserve"> </v>
      </c>
      <c r="K29" s="26" t="e">
        <f>'Solution 1, (hidden)'!AD30</f>
        <v>#N/A</v>
      </c>
      <c r="L29" s="26" t="e">
        <f>'Solution  2, (hidden)'!AD30</f>
        <v>#N/A</v>
      </c>
      <c r="M29" s="26" t="e">
        <f>'Solution 1, (hidden)'!AB30</f>
        <v>#N/A</v>
      </c>
      <c r="N29" s="26" t="e">
        <f>'Solution  2, (hidden)'!AB30</f>
        <v>#N/A</v>
      </c>
    </row>
    <row r="30" spans="8:14" x14ac:dyDescent="0.25">
      <c r="H30" t="str">
        <f>'Solution 1, (hidden)'!B31</f>
        <v xml:space="preserve"> </v>
      </c>
      <c r="I30" t="str">
        <f>'Solution  2, (hidden)'!B31</f>
        <v xml:space="preserve"> </v>
      </c>
      <c r="J30" t="str">
        <f>IF('2. Inputs and results'!$C$21&gt;='2. Inputs and results'!$B$21,'Solution  2, (hidden)'!B31,'Solution 1, (hidden)'!B31)</f>
        <v xml:space="preserve"> </v>
      </c>
      <c r="K30" s="26" t="e">
        <f>'Solution 1, (hidden)'!AD31</f>
        <v>#N/A</v>
      </c>
      <c r="L30" s="26" t="e">
        <f>'Solution  2, (hidden)'!AD31</f>
        <v>#N/A</v>
      </c>
      <c r="M30" s="26" t="e">
        <f>'Solution 1, (hidden)'!AB31</f>
        <v>#N/A</v>
      </c>
      <c r="N30" s="26" t="e">
        <f>'Solution  2, (hidden)'!AB31</f>
        <v>#N/A</v>
      </c>
    </row>
    <row r="31" spans="8:14" x14ac:dyDescent="0.25">
      <c r="H31" t="str">
        <f>'Solution 1, (hidden)'!B32</f>
        <v xml:space="preserve"> </v>
      </c>
      <c r="I31" t="str">
        <f>'Solution  2, (hidden)'!B32</f>
        <v xml:space="preserve"> </v>
      </c>
      <c r="J31" t="str">
        <f>IF('2. Inputs and results'!$C$21&gt;='2. Inputs and results'!$B$21,'Solution  2, (hidden)'!B32,'Solution 1, (hidden)'!B32)</f>
        <v xml:space="preserve"> </v>
      </c>
      <c r="K31" s="26" t="e">
        <f>'Solution 1, (hidden)'!AD32</f>
        <v>#N/A</v>
      </c>
      <c r="L31" s="26" t="e">
        <f>'Solution  2, (hidden)'!AD32</f>
        <v>#N/A</v>
      </c>
      <c r="M31" s="26" t="e">
        <f>'Solution 1, (hidden)'!AB32</f>
        <v>#N/A</v>
      </c>
      <c r="N31" s="26" t="e">
        <f>'Solution  2, (hidden)'!AB32</f>
        <v>#N/A</v>
      </c>
    </row>
    <row r="32" spans="8:14" x14ac:dyDescent="0.25">
      <c r="H32" t="str">
        <f>'Solution 1, (hidden)'!B33</f>
        <v xml:space="preserve"> </v>
      </c>
      <c r="I32" t="str">
        <f>'Solution  2, (hidden)'!B33</f>
        <v xml:space="preserve"> </v>
      </c>
      <c r="J32" t="str">
        <f>IF('2. Inputs and results'!$C$21&gt;='2. Inputs and results'!$B$21,'Solution  2, (hidden)'!B33,'Solution 1, (hidden)'!B33)</f>
        <v xml:space="preserve"> </v>
      </c>
      <c r="K32" s="26" t="e">
        <f>'Solution 1, (hidden)'!AD33</f>
        <v>#N/A</v>
      </c>
      <c r="L32" s="26" t="e">
        <f>'Solution  2, (hidden)'!AD33</f>
        <v>#N/A</v>
      </c>
      <c r="M32" s="26" t="e">
        <f>'Solution 1, (hidden)'!AB33</f>
        <v>#N/A</v>
      </c>
      <c r="N32" s="26" t="e">
        <f>'Solution  2, (hidden)'!AB33</f>
        <v>#N/A</v>
      </c>
    </row>
    <row r="33" spans="8:14" x14ac:dyDescent="0.25">
      <c r="H33" t="str">
        <f>'Solution 1, (hidden)'!B34</f>
        <v xml:space="preserve"> </v>
      </c>
      <c r="I33" t="str">
        <f>'Solution  2, (hidden)'!B34</f>
        <v xml:space="preserve"> </v>
      </c>
      <c r="J33" t="str">
        <f>IF('2. Inputs and results'!$C$21&gt;='2. Inputs and results'!$B$21,'Solution  2, (hidden)'!B34,'Solution 1, (hidden)'!B34)</f>
        <v xml:space="preserve"> </v>
      </c>
      <c r="K33" s="26" t="e">
        <f>'Solution 1, (hidden)'!AD34</f>
        <v>#N/A</v>
      </c>
      <c r="L33" s="26" t="e">
        <f>'Solution  2, (hidden)'!AD34</f>
        <v>#N/A</v>
      </c>
      <c r="M33" s="26" t="e">
        <f>'Solution 1, (hidden)'!AB34</f>
        <v>#N/A</v>
      </c>
      <c r="N33" s="26" t="e">
        <f>'Solution  2, (hidden)'!AB34</f>
        <v>#N/A</v>
      </c>
    </row>
    <row r="34" spans="8:14" x14ac:dyDescent="0.25">
      <c r="H34" t="str">
        <f>'Solution 1, (hidden)'!B35</f>
        <v xml:space="preserve"> </v>
      </c>
      <c r="I34" t="str">
        <f>'Solution  2, (hidden)'!B35</f>
        <v xml:space="preserve"> </v>
      </c>
      <c r="J34" t="str">
        <f>IF('2. Inputs and results'!$C$21&gt;='2. Inputs and results'!$B$21,'Solution  2, (hidden)'!B35,'Solution 1, (hidden)'!B35)</f>
        <v xml:space="preserve"> </v>
      </c>
      <c r="K34" s="26" t="e">
        <f>'Solution 1, (hidden)'!AD35</f>
        <v>#N/A</v>
      </c>
      <c r="L34" s="26" t="e">
        <f>'Solution  2, (hidden)'!AD35</f>
        <v>#N/A</v>
      </c>
      <c r="M34" s="26" t="e">
        <f>'Solution 1, (hidden)'!AB35</f>
        <v>#N/A</v>
      </c>
      <c r="N34" s="26" t="e">
        <f>'Solution  2, (hidden)'!AB35</f>
        <v>#N/A</v>
      </c>
    </row>
    <row r="35" spans="8:14" x14ac:dyDescent="0.25">
      <c r="H35" t="str">
        <f>'Solution 1, (hidden)'!B36</f>
        <v xml:space="preserve"> </v>
      </c>
      <c r="I35" t="str">
        <f>'Solution  2, (hidden)'!B36</f>
        <v xml:space="preserve"> </v>
      </c>
      <c r="J35" t="str">
        <f>IF('2. Inputs and results'!$C$21&gt;='2. Inputs and results'!$B$21,'Solution  2, (hidden)'!B36,'Solution 1, (hidden)'!B36)</f>
        <v xml:space="preserve"> </v>
      </c>
      <c r="K35" s="26" t="e">
        <f>'Solution 1, (hidden)'!AD36</f>
        <v>#N/A</v>
      </c>
      <c r="L35" s="26" t="e">
        <f>'Solution  2, (hidden)'!AD36</f>
        <v>#N/A</v>
      </c>
      <c r="M35" s="26" t="e">
        <f>'Solution 1, (hidden)'!AB36</f>
        <v>#N/A</v>
      </c>
      <c r="N35" s="26" t="e">
        <f>'Solution  2, (hidden)'!AB36</f>
        <v>#N/A</v>
      </c>
    </row>
    <row r="36" spans="8:14" x14ac:dyDescent="0.25">
      <c r="H36" t="str">
        <f>'Solution 1, (hidden)'!B37</f>
        <v xml:space="preserve"> </v>
      </c>
      <c r="I36" t="str">
        <f>'Solution  2, (hidden)'!B37</f>
        <v xml:space="preserve"> </v>
      </c>
      <c r="J36" t="str">
        <f>IF('2. Inputs and results'!$C$21&gt;='2. Inputs and results'!$B$21,'Solution  2, (hidden)'!B37,'Solution 1, (hidden)'!B37)</f>
        <v xml:space="preserve"> </v>
      </c>
      <c r="K36" s="26" t="e">
        <f>'Solution 1, (hidden)'!AD37</f>
        <v>#N/A</v>
      </c>
      <c r="L36" s="26" t="e">
        <f>'Solution  2, (hidden)'!AD37</f>
        <v>#N/A</v>
      </c>
      <c r="M36" s="26" t="e">
        <f>'Solution 1, (hidden)'!AB37</f>
        <v>#N/A</v>
      </c>
      <c r="N36" s="26" t="e">
        <f>'Solution  2, (hidden)'!AB37</f>
        <v>#N/A</v>
      </c>
    </row>
    <row r="37" spans="8:14" x14ac:dyDescent="0.25">
      <c r="H37" t="str">
        <f>'Solution 1, (hidden)'!B38</f>
        <v xml:space="preserve"> </v>
      </c>
      <c r="I37" t="str">
        <f>'Solution  2, (hidden)'!B38</f>
        <v xml:space="preserve"> </v>
      </c>
      <c r="J37" t="str">
        <f>IF('2. Inputs and results'!$C$21&gt;='2. Inputs and results'!$B$21,'Solution  2, (hidden)'!B38,'Solution 1, (hidden)'!B38)</f>
        <v xml:space="preserve"> </v>
      </c>
      <c r="K37" s="26" t="e">
        <f>'Solution 1, (hidden)'!AD38</f>
        <v>#N/A</v>
      </c>
      <c r="L37" s="26" t="e">
        <f>'Solution  2, (hidden)'!AD38</f>
        <v>#N/A</v>
      </c>
      <c r="M37" s="26" t="e">
        <f>'Solution 1, (hidden)'!AB38</f>
        <v>#N/A</v>
      </c>
      <c r="N37" s="26" t="e">
        <f>'Solution  2, (hidden)'!AB38</f>
        <v>#N/A</v>
      </c>
    </row>
    <row r="38" spans="8:14" x14ac:dyDescent="0.25">
      <c r="H38" t="str">
        <f>'Solution 1, (hidden)'!B39</f>
        <v xml:space="preserve"> </v>
      </c>
      <c r="I38" t="str">
        <f>'Solution  2, (hidden)'!B39</f>
        <v xml:space="preserve"> </v>
      </c>
      <c r="J38" t="str">
        <f>IF('2. Inputs and results'!$C$21&gt;='2. Inputs and results'!$B$21,'Solution  2, (hidden)'!B39,'Solution 1, (hidden)'!B39)</f>
        <v xml:space="preserve"> </v>
      </c>
      <c r="K38" s="26" t="e">
        <f>'Solution 1, (hidden)'!AD39</f>
        <v>#N/A</v>
      </c>
      <c r="L38" s="26" t="e">
        <f>'Solution  2, (hidden)'!AD39</f>
        <v>#N/A</v>
      </c>
      <c r="M38" s="26" t="e">
        <f>'Solution 1, (hidden)'!AB39</f>
        <v>#N/A</v>
      </c>
      <c r="N38" s="26" t="e">
        <f>'Solution  2, (hidden)'!AB39</f>
        <v>#N/A</v>
      </c>
    </row>
    <row r="39" spans="8:14" x14ac:dyDescent="0.25">
      <c r="H39" t="str">
        <f>'Solution 1, (hidden)'!B40</f>
        <v xml:space="preserve"> </v>
      </c>
      <c r="I39" t="str">
        <f>'Solution  2, (hidden)'!B40</f>
        <v xml:space="preserve"> </v>
      </c>
      <c r="J39" t="str">
        <f>IF('2. Inputs and results'!$C$21&gt;='2. Inputs and results'!$B$21,'Solution  2, (hidden)'!B40,'Solution 1, (hidden)'!B40)</f>
        <v xml:space="preserve"> </v>
      </c>
      <c r="K39" s="26" t="e">
        <f>'Solution 1, (hidden)'!AD40</f>
        <v>#N/A</v>
      </c>
      <c r="L39" s="26" t="e">
        <f>'Solution  2, (hidden)'!AD40</f>
        <v>#N/A</v>
      </c>
      <c r="M39" s="26" t="e">
        <f>'Solution 1, (hidden)'!AB40</f>
        <v>#N/A</v>
      </c>
      <c r="N39" s="26" t="e">
        <f>'Solution  2, (hidden)'!AB40</f>
        <v>#N/A</v>
      </c>
    </row>
    <row r="40" spans="8:14" x14ac:dyDescent="0.25">
      <c r="H40" t="str">
        <f>'Solution 1, (hidden)'!B41</f>
        <v xml:space="preserve"> </v>
      </c>
      <c r="I40" t="str">
        <f>'Solution  2, (hidden)'!B41</f>
        <v xml:space="preserve"> </v>
      </c>
      <c r="J40" t="str">
        <f>IF('2. Inputs and results'!$C$21&gt;='2. Inputs and results'!$B$21,'Solution  2, (hidden)'!B41,'Solution 1, (hidden)'!B41)</f>
        <v xml:space="preserve"> </v>
      </c>
      <c r="K40" s="26" t="e">
        <f>'Solution 1, (hidden)'!AD41</f>
        <v>#N/A</v>
      </c>
      <c r="L40" s="26" t="e">
        <f>'Solution  2, (hidden)'!AD41</f>
        <v>#N/A</v>
      </c>
      <c r="M40" s="26" t="e">
        <f>'Solution 1, (hidden)'!AB41</f>
        <v>#N/A</v>
      </c>
      <c r="N40" s="26" t="e">
        <f>'Solution  2, (hidden)'!AB41</f>
        <v>#N/A</v>
      </c>
    </row>
    <row r="41" spans="8:14" x14ac:dyDescent="0.25">
      <c r="H41" t="str">
        <f>'Solution 1, (hidden)'!B42</f>
        <v xml:space="preserve"> </v>
      </c>
      <c r="I41" t="str">
        <f>'Solution  2, (hidden)'!B42</f>
        <v xml:space="preserve"> </v>
      </c>
      <c r="J41" t="str">
        <f>IF('2. Inputs and results'!$C$21&gt;='2. Inputs and results'!$B$21,'Solution  2, (hidden)'!B42,'Solution 1, (hidden)'!B42)</f>
        <v xml:space="preserve"> </v>
      </c>
      <c r="K41" s="26" t="e">
        <f>'Solution 1, (hidden)'!AD42</f>
        <v>#N/A</v>
      </c>
      <c r="L41" s="26" t="e">
        <f>'Solution  2, (hidden)'!AD42</f>
        <v>#N/A</v>
      </c>
      <c r="M41" s="26" t="e">
        <f>'Solution 1, (hidden)'!AB42</f>
        <v>#N/A</v>
      </c>
      <c r="N41" s="26" t="e">
        <f>'Solution  2, (hidden)'!AB42</f>
        <v>#N/A</v>
      </c>
    </row>
    <row r="42" spans="8:14" x14ac:dyDescent="0.25">
      <c r="H42" t="str">
        <f>'Solution 1, (hidden)'!B43</f>
        <v xml:space="preserve"> </v>
      </c>
      <c r="I42" t="str">
        <f>'Solution  2, (hidden)'!B43</f>
        <v xml:space="preserve"> </v>
      </c>
      <c r="J42" t="str">
        <f>IF('2. Inputs and results'!$C$21&gt;='2. Inputs and results'!$B$21,'Solution  2, (hidden)'!B43,'Solution 1, (hidden)'!B43)</f>
        <v xml:space="preserve"> </v>
      </c>
      <c r="K42" s="26" t="e">
        <f>'Solution 1, (hidden)'!AD43</f>
        <v>#N/A</v>
      </c>
      <c r="L42" s="26" t="e">
        <f>'Solution  2, (hidden)'!AD43</f>
        <v>#N/A</v>
      </c>
      <c r="M42" s="26" t="e">
        <f>'Solution 1, (hidden)'!AB43</f>
        <v>#N/A</v>
      </c>
      <c r="N42" s="26" t="e">
        <f>'Solution  2, (hidden)'!AB43</f>
        <v>#N/A</v>
      </c>
    </row>
    <row r="43" spans="8:14" x14ac:dyDescent="0.25">
      <c r="H43" t="str">
        <f>'Solution 1, (hidden)'!B44</f>
        <v xml:space="preserve"> </v>
      </c>
      <c r="I43" t="str">
        <f>'Solution  2, (hidden)'!B44</f>
        <v xml:space="preserve"> </v>
      </c>
      <c r="J43" t="str">
        <f>IF('2. Inputs and results'!$C$21&gt;='2. Inputs and results'!$B$21,'Solution  2, (hidden)'!B44,'Solution 1, (hidden)'!B44)</f>
        <v xml:space="preserve"> </v>
      </c>
      <c r="K43" s="26" t="e">
        <f>'Solution 1, (hidden)'!AD44</f>
        <v>#N/A</v>
      </c>
      <c r="L43" s="26" t="e">
        <f>'Solution  2, (hidden)'!AD44</f>
        <v>#N/A</v>
      </c>
      <c r="M43" s="26" t="e">
        <f>'Solution 1, (hidden)'!AB44</f>
        <v>#N/A</v>
      </c>
      <c r="N43" s="26" t="e">
        <f>'Solution  2, (hidden)'!AB44</f>
        <v>#N/A</v>
      </c>
    </row>
    <row r="44" spans="8:14" x14ac:dyDescent="0.25">
      <c r="H44" t="str">
        <f>'Solution 1, (hidden)'!B45</f>
        <v xml:space="preserve"> </v>
      </c>
      <c r="I44" t="str">
        <f>'Solution  2, (hidden)'!B45</f>
        <v xml:space="preserve"> </v>
      </c>
      <c r="J44" t="str">
        <f>IF('2. Inputs and results'!$C$21&gt;='2. Inputs and results'!$B$21,'Solution  2, (hidden)'!B45,'Solution 1, (hidden)'!B45)</f>
        <v xml:space="preserve"> </v>
      </c>
      <c r="K44" s="26" t="e">
        <f>'Solution 1, (hidden)'!AD45</f>
        <v>#N/A</v>
      </c>
      <c r="L44" s="26" t="e">
        <f>'Solution  2, (hidden)'!AD45</f>
        <v>#N/A</v>
      </c>
      <c r="M44" s="26" t="e">
        <f>'Solution 1, (hidden)'!AB45</f>
        <v>#N/A</v>
      </c>
      <c r="N44" s="26" t="e">
        <f>'Solution  2, (hidden)'!AB45</f>
        <v>#N/A</v>
      </c>
    </row>
    <row r="45" spans="8:14" x14ac:dyDescent="0.25">
      <c r="H45" t="str">
        <f>'Solution 1, (hidden)'!B46</f>
        <v xml:space="preserve"> </v>
      </c>
      <c r="I45" t="str">
        <f>'Solution  2, (hidden)'!B46</f>
        <v xml:space="preserve"> </v>
      </c>
      <c r="J45" t="str">
        <f>IF('2. Inputs and results'!$C$21&gt;='2. Inputs and results'!$B$21,'Solution  2, (hidden)'!B46,'Solution 1, (hidden)'!B46)</f>
        <v xml:space="preserve"> </v>
      </c>
      <c r="K45" s="26" t="e">
        <f>'Solution 1, (hidden)'!AD46</f>
        <v>#N/A</v>
      </c>
      <c r="L45" s="26" t="e">
        <f>'Solution  2, (hidden)'!AD46</f>
        <v>#N/A</v>
      </c>
      <c r="M45" s="26" t="e">
        <f>'Solution 1, (hidden)'!AB46</f>
        <v>#N/A</v>
      </c>
      <c r="N45" s="26" t="e">
        <f>'Solution  2, (hidden)'!AB46</f>
        <v>#N/A</v>
      </c>
    </row>
    <row r="46" spans="8:14" x14ac:dyDescent="0.25">
      <c r="H46" t="str">
        <f>'Solution 1, (hidden)'!B47</f>
        <v xml:space="preserve"> </v>
      </c>
      <c r="I46" t="str">
        <f>'Solution  2, (hidden)'!B47</f>
        <v xml:space="preserve"> </v>
      </c>
      <c r="J46" t="str">
        <f>IF('2. Inputs and results'!$C$21&gt;='2. Inputs and results'!$B$21,'Solution  2, (hidden)'!B47,'Solution 1, (hidden)'!B47)</f>
        <v xml:space="preserve"> </v>
      </c>
      <c r="K46" s="26" t="e">
        <f>'Solution 1, (hidden)'!AD47</f>
        <v>#N/A</v>
      </c>
      <c r="L46" s="26" t="e">
        <f>'Solution  2, (hidden)'!AD47</f>
        <v>#N/A</v>
      </c>
      <c r="M46" s="26" t="e">
        <f>'Solution 1, (hidden)'!AB47</f>
        <v>#N/A</v>
      </c>
      <c r="N46" s="26" t="e">
        <f>'Solution  2, (hidden)'!AB47</f>
        <v>#N/A</v>
      </c>
    </row>
    <row r="47" spans="8:14" x14ac:dyDescent="0.25">
      <c r="H47" t="str">
        <f>'Solution 1, (hidden)'!B48</f>
        <v xml:space="preserve"> </v>
      </c>
      <c r="I47" t="str">
        <f>'Solution  2, (hidden)'!B48</f>
        <v xml:space="preserve"> </v>
      </c>
      <c r="J47" t="str">
        <f>IF('2. Inputs and results'!$C$21&gt;='2. Inputs and results'!$B$21,'Solution  2, (hidden)'!B48,'Solution 1, (hidden)'!B48)</f>
        <v xml:space="preserve"> </v>
      </c>
      <c r="K47" s="26" t="e">
        <f>'Solution 1, (hidden)'!AD48</f>
        <v>#N/A</v>
      </c>
      <c r="L47" s="26" t="e">
        <f>'Solution  2, (hidden)'!AD48</f>
        <v>#N/A</v>
      </c>
      <c r="M47" s="26" t="e">
        <f>'Solution 1, (hidden)'!AB48</f>
        <v>#N/A</v>
      </c>
      <c r="N47" s="26" t="e">
        <f>'Solution  2, (hidden)'!AB48</f>
        <v>#N/A</v>
      </c>
    </row>
    <row r="48" spans="8:14" x14ac:dyDescent="0.25">
      <c r="H48" t="str">
        <f>'Solution 1, (hidden)'!B49</f>
        <v xml:space="preserve"> </v>
      </c>
      <c r="I48" t="str">
        <f>'Solution  2, (hidden)'!B49</f>
        <v xml:space="preserve"> </v>
      </c>
      <c r="J48" t="str">
        <f>IF('2. Inputs and results'!$C$21&gt;='2. Inputs and results'!$B$21,'Solution  2, (hidden)'!B49,'Solution 1, (hidden)'!B49)</f>
        <v xml:space="preserve"> </v>
      </c>
      <c r="K48" s="26" t="e">
        <f>'Solution 1, (hidden)'!AD49</f>
        <v>#N/A</v>
      </c>
      <c r="L48" s="26" t="e">
        <f>'Solution  2, (hidden)'!AD49</f>
        <v>#N/A</v>
      </c>
      <c r="M48" s="26" t="e">
        <f>'Solution 1, (hidden)'!AB49</f>
        <v>#N/A</v>
      </c>
      <c r="N48" s="26" t="e">
        <f>'Solution  2, (hidden)'!AB49</f>
        <v>#N/A</v>
      </c>
    </row>
    <row r="49" spans="8:14" x14ac:dyDescent="0.25">
      <c r="H49" t="str">
        <f>'Solution 1, (hidden)'!B50</f>
        <v xml:space="preserve"> </v>
      </c>
      <c r="I49" t="str">
        <f>'Solution  2, (hidden)'!B50</f>
        <v xml:space="preserve"> </v>
      </c>
      <c r="J49" t="str">
        <f>IF('2. Inputs and results'!$C$21&gt;='2. Inputs and results'!$B$21,'Solution  2, (hidden)'!B50,'Solution 1, (hidden)'!B50)</f>
        <v xml:space="preserve"> </v>
      </c>
      <c r="K49" s="26" t="e">
        <f>'Solution 1, (hidden)'!AD50</f>
        <v>#N/A</v>
      </c>
      <c r="L49" s="26" t="e">
        <f>'Solution  2, (hidden)'!AD50</f>
        <v>#N/A</v>
      </c>
      <c r="M49" s="26" t="e">
        <f>'Solution 1, (hidden)'!AB50</f>
        <v>#N/A</v>
      </c>
      <c r="N49" s="26" t="e">
        <f>'Solution  2, (hidden)'!AB50</f>
        <v>#N/A</v>
      </c>
    </row>
    <row r="50" spans="8:14" x14ac:dyDescent="0.25">
      <c r="H50" t="str">
        <f>'Solution 1, (hidden)'!B51</f>
        <v xml:space="preserve"> </v>
      </c>
      <c r="I50" t="str">
        <f>'Solution  2, (hidden)'!B51</f>
        <v xml:space="preserve"> </v>
      </c>
      <c r="J50" t="str">
        <f>IF('2. Inputs and results'!$C$21&gt;='2. Inputs and results'!$B$21,'Solution  2, (hidden)'!B51,'Solution 1, (hidden)'!B51)</f>
        <v xml:space="preserve"> </v>
      </c>
      <c r="K50" s="26" t="e">
        <f>'Solution 1, (hidden)'!AD51</f>
        <v>#N/A</v>
      </c>
      <c r="L50" s="26" t="e">
        <f>'Solution  2, (hidden)'!AD51</f>
        <v>#N/A</v>
      </c>
      <c r="M50" s="26" t="e">
        <f>'Solution 1, (hidden)'!AB51</f>
        <v>#N/A</v>
      </c>
      <c r="N50" s="26" t="e">
        <f>'Solution  2, (hidden)'!AB51</f>
        <v>#N/A</v>
      </c>
    </row>
    <row r="51" spans="8:14" x14ac:dyDescent="0.25">
      <c r="H51" t="str">
        <f>'Solution 1, (hidden)'!B52</f>
        <v xml:space="preserve"> </v>
      </c>
      <c r="I51" t="str">
        <f>'Solution  2, (hidden)'!B52</f>
        <v xml:space="preserve"> </v>
      </c>
      <c r="J51" t="str">
        <f>IF('2. Inputs and results'!$C$21&gt;='2. Inputs and results'!$B$21,'Solution  2, (hidden)'!B52,'Solution 1, (hidden)'!B52)</f>
        <v xml:space="preserve"> </v>
      </c>
      <c r="K51" s="26" t="e">
        <f>'Solution 1, (hidden)'!AD52</f>
        <v>#N/A</v>
      </c>
      <c r="L51" s="26" t="e">
        <f>'Solution  2, (hidden)'!AD52</f>
        <v>#N/A</v>
      </c>
      <c r="M51" s="26" t="e">
        <f>'Solution 1, (hidden)'!AB52</f>
        <v>#N/A</v>
      </c>
      <c r="N51" s="26" t="e">
        <f>'Solution  2, (hidden)'!AB52</f>
        <v>#N/A</v>
      </c>
    </row>
    <row r="52" spans="8:14" x14ac:dyDescent="0.25">
      <c r="H52" t="str">
        <f>'Solution 1, (hidden)'!B53</f>
        <v xml:space="preserve"> </v>
      </c>
      <c r="I52" t="str">
        <f>'Solution  2, (hidden)'!B53</f>
        <v xml:space="preserve"> </v>
      </c>
      <c r="J52" t="str">
        <f>IF('2. Inputs and results'!$C$21&gt;='2. Inputs and results'!$B$21,'Solution  2, (hidden)'!B53,'Solution 1, (hidden)'!B53)</f>
        <v xml:space="preserve"> </v>
      </c>
      <c r="K52" s="26" t="e">
        <f>'Solution 1, (hidden)'!AD53</f>
        <v>#N/A</v>
      </c>
      <c r="L52" s="26" t="e">
        <f>'Solution  2, (hidden)'!AD53</f>
        <v>#N/A</v>
      </c>
      <c r="M52" s="26" t="e">
        <f>'Solution 1, (hidden)'!AB53</f>
        <v>#N/A</v>
      </c>
      <c r="N52" s="26" t="e">
        <f>'Solution  2, (hidden)'!AB53</f>
        <v>#N/A</v>
      </c>
    </row>
    <row r="53" spans="8:14" x14ac:dyDescent="0.25">
      <c r="H53" t="str">
        <f>'Solution 1, (hidden)'!B54</f>
        <v xml:space="preserve"> </v>
      </c>
      <c r="I53" t="str">
        <f>'Solution  2, (hidden)'!B54</f>
        <v xml:space="preserve"> </v>
      </c>
      <c r="J53" t="str">
        <f>IF('2. Inputs and results'!$C$21&gt;='2. Inputs and results'!$B$21,'Solution  2, (hidden)'!B54,'Solution 1, (hidden)'!B54)</f>
        <v xml:space="preserve"> </v>
      </c>
      <c r="K53" s="26" t="e">
        <f>'Solution 1, (hidden)'!AD54</f>
        <v>#N/A</v>
      </c>
      <c r="L53" s="26" t="e">
        <f>'Solution  2, (hidden)'!AD54</f>
        <v>#N/A</v>
      </c>
      <c r="M53" s="26" t="e">
        <f>'Solution 1, (hidden)'!AB54</f>
        <v>#N/A</v>
      </c>
      <c r="N53" s="26" t="e">
        <f>'Solution  2, (hidden)'!AB54</f>
        <v>#N/A</v>
      </c>
    </row>
    <row r="54" spans="8:14" x14ac:dyDescent="0.25">
      <c r="H54" t="str">
        <f>'Solution 1, (hidden)'!B55</f>
        <v xml:space="preserve"> </v>
      </c>
      <c r="I54" t="str">
        <f>'Solution  2, (hidden)'!B55</f>
        <v xml:space="preserve"> </v>
      </c>
      <c r="J54" t="str">
        <f>IF('2. Inputs and results'!$C$21&gt;='2. Inputs and results'!$B$21,'Solution  2, (hidden)'!B55,'Solution 1, (hidden)'!B55)</f>
        <v xml:space="preserve"> </v>
      </c>
      <c r="K54" s="26" t="e">
        <f>'Solution 1, (hidden)'!AD55</f>
        <v>#N/A</v>
      </c>
      <c r="L54" s="26" t="e">
        <f>'Solution  2, (hidden)'!AD55</f>
        <v>#N/A</v>
      </c>
      <c r="M54" s="26" t="e">
        <f>'Solution 1, (hidden)'!AB55</f>
        <v>#N/A</v>
      </c>
      <c r="N54" s="26" t="e">
        <f>'Solution  2, (hidden)'!AB55</f>
        <v>#N/A</v>
      </c>
    </row>
  </sheetData>
  <conditionalFormatting sqref="N4">
    <cfRule type="containsErrors" dxfId="31" priority="4">
      <formula>ISERROR(N4)</formula>
    </cfRule>
  </conditionalFormatting>
  <conditionalFormatting sqref="J2:N54">
    <cfRule type="containsErrors" dxfId="30" priority="3">
      <formula>ISERROR(J2)</formula>
    </cfRule>
  </conditionalFormatting>
  <conditionalFormatting sqref="I4:I54">
    <cfRule type="containsErrors" dxfId="29" priority="2">
      <formula>ISERROR(I4)</formula>
    </cfRule>
  </conditionalFormatting>
  <conditionalFormatting sqref="I4:I54">
    <cfRule type="containsErrors" dxfId="28" priority="1">
      <formula>ISERROR(I4)</formula>
    </cfRule>
  </conditionalFormatting>
  <pageMargins left="0.7" right="0.7" top="0.75" bottom="0.75" header="0.3" footer="0.3"/>
  <pageSetup paperSize="9"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ul13">
    <pageSetUpPr fitToPage="1"/>
  </sheetPr>
  <dimension ref="A1:M71"/>
  <sheetViews>
    <sheetView topLeftCell="A64" zoomScaleNormal="100" workbookViewId="0">
      <selection activeCell="D1" sqref="D1"/>
    </sheetView>
  </sheetViews>
  <sheetFormatPr defaultRowHeight="15" x14ac:dyDescent="0.25"/>
  <cols>
    <col min="1" max="1" width="37.28515625" customWidth="1"/>
    <col min="2" max="2" width="37.140625" customWidth="1"/>
    <col min="3" max="3" width="13.85546875" customWidth="1"/>
    <col min="4" max="4" width="13.140625" customWidth="1"/>
    <col min="5" max="5" width="7.28515625" customWidth="1"/>
    <col min="6" max="6" width="36.140625" customWidth="1"/>
    <col min="7" max="7" width="32" customWidth="1"/>
    <col min="8" max="8" width="34.5703125" customWidth="1"/>
    <col min="9" max="9" width="32" customWidth="1"/>
    <col min="10" max="10" width="36.28515625" customWidth="1"/>
    <col min="11" max="11" width="42.85546875" customWidth="1"/>
    <col min="12" max="13" width="40.7109375" customWidth="1"/>
  </cols>
  <sheetData>
    <row r="1" spans="1:13" s="39" customFormat="1" ht="78.75" customHeight="1" thickBot="1" x14ac:dyDescent="0.45">
      <c r="D1" s="306" t="s">
        <v>306</v>
      </c>
    </row>
    <row r="2" spans="1:13" s="39" customFormat="1" ht="15.75" thickBot="1" x14ac:dyDescent="0.3">
      <c r="A2" s="279" t="s">
        <v>150</v>
      </c>
      <c r="B2" s="61" t="str">
        <f>'2. Inputs and results'!B5</f>
        <v>Building</v>
      </c>
    </row>
    <row r="3" spans="1:13" s="39" customFormat="1" ht="15.75" thickBot="1" x14ac:dyDescent="0.3">
      <c r="A3" s="282"/>
      <c r="B3" s="284"/>
    </row>
    <row r="4" spans="1:13" s="39" customFormat="1" ht="15.75" thickBot="1" x14ac:dyDescent="0.3">
      <c r="A4" s="282" t="s">
        <v>139</v>
      </c>
      <c r="B4" s="283" t="str">
        <f>'2. Inputs and results'!B6</f>
        <v>Housing/ Residential building</v>
      </c>
    </row>
    <row r="5" spans="1:13" s="39" customFormat="1" ht="15.75" thickBot="1" x14ac:dyDescent="0.3">
      <c r="A5" s="282"/>
      <c r="B5" s="284"/>
    </row>
    <row r="6" spans="1:13" s="39" customFormat="1" ht="15.75" thickBot="1" x14ac:dyDescent="0.3">
      <c r="A6" s="282" t="s">
        <v>54</v>
      </c>
      <c r="B6" s="283" t="str">
        <f>'2. Inputs and results'!B8</f>
        <v>District heating</v>
      </c>
    </row>
    <row r="7" spans="1:13" s="39" customFormat="1" ht="15.75" thickBot="1" x14ac:dyDescent="0.3">
      <c r="A7" s="282" t="s">
        <v>93</v>
      </c>
      <c r="B7" s="283" t="str">
        <f>'2. Inputs and results'!B9</f>
        <v>Other</v>
      </c>
    </row>
    <row r="8" spans="1:13" s="39" customFormat="1" ht="15.75" thickBot="1" x14ac:dyDescent="0.3">
      <c r="A8" s="281" t="s">
        <v>104</v>
      </c>
      <c r="B8" s="63" t="str">
        <f>'2. Inputs and results'!B10</f>
        <v>None</v>
      </c>
    </row>
    <row r="9" spans="1:13" x14ac:dyDescent="0.25">
      <c r="C9" s="285"/>
      <c r="D9" s="285"/>
      <c r="E9" s="285"/>
      <c r="F9" s="285" t="s">
        <v>122</v>
      </c>
      <c r="G9" s="285" t="s">
        <v>123</v>
      </c>
      <c r="H9" s="285" t="s">
        <v>120</v>
      </c>
      <c r="I9" s="285" t="s">
        <v>121</v>
      </c>
      <c r="J9" s="285" t="s">
        <v>215</v>
      </c>
      <c r="K9" s="285" t="s">
        <v>216</v>
      </c>
      <c r="L9" s="285" t="s">
        <v>215</v>
      </c>
      <c r="M9" s="285" t="s">
        <v>216</v>
      </c>
    </row>
    <row r="10" spans="1:13" x14ac:dyDescent="0.25">
      <c r="C10" s="285"/>
      <c r="D10" s="285"/>
      <c r="E10" s="285"/>
      <c r="F10" s="286" t="s">
        <v>151</v>
      </c>
      <c r="G10" s="286" t="s">
        <v>151</v>
      </c>
      <c r="H10" s="286" t="s">
        <v>214</v>
      </c>
      <c r="I10" s="286" t="s">
        <v>214</v>
      </c>
      <c r="J10" s="286" t="s">
        <v>225</v>
      </c>
      <c r="K10" s="286" t="s">
        <v>225</v>
      </c>
      <c r="L10" s="286" t="s">
        <v>226</v>
      </c>
      <c r="M10" s="286" t="s">
        <v>226</v>
      </c>
    </row>
    <row r="11" spans="1:13" x14ac:dyDescent="0.25">
      <c r="C11" s="285"/>
      <c r="D11" s="285"/>
      <c r="E11" s="285"/>
      <c r="F11" s="286" t="s">
        <v>70</v>
      </c>
      <c r="G11" s="286" t="s">
        <v>70</v>
      </c>
      <c r="H11" s="286"/>
      <c r="I11" s="286"/>
      <c r="J11" s="285"/>
      <c r="K11" s="285"/>
      <c r="L11" s="285"/>
      <c r="M11" s="285"/>
    </row>
    <row r="12" spans="1:13" x14ac:dyDescent="0.25">
      <c r="C12" s="286" t="s">
        <v>118</v>
      </c>
      <c r="D12" s="286" t="s">
        <v>119</v>
      </c>
      <c r="E12" s="286" t="s">
        <v>49</v>
      </c>
      <c r="F12" s="285"/>
      <c r="G12" s="285"/>
      <c r="H12" s="285"/>
      <c r="I12" s="285"/>
      <c r="J12" s="286"/>
      <c r="K12" s="286"/>
      <c r="L12" s="285"/>
      <c r="M12" s="285"/>
    </row>
    <row r="13" spans="1:13" x14ac:dyDescent="0.25">
      <c r="C13" s="285"/>
      <c r="D13" s="285"/>
      <c r="E13" s="285"/>
      <c r="F13" s="286" t="str">
        <f>'2. Inputs and results'!B19</f>
        <v xml:space="preserve">Ventilation system with heat recovery </v>
      </c>
      <c r="G13" s="286" t="str">
        <f>'2. Inputs and results'!C19</f>
        <v>Geothermal heat pump system</v>
      </c>
      <c r="H13" s="286" t="str">
        <f>'2. Inputs and results'!B19</f>
        <v xml:space="preserve">Ventilation system with heat recovery </v>
      </c>
      <c r="I13" s="286" t="str">
        <f>'2. Inputs and results'!C19</f>
        <v>Geothermal heat pump system</v>
      </c>
      <c r="J13" s="286" t="str">
        <f>'2. Inputs and results'!B19</f>
        <v xml:space="preserve">Ventilation system with heat recovery </v>
      </c>
      <c r="K13" s="286" t="str">
        <f>'2. Inputs and results'!C19</f>
        <v>Geothermal heat pump system</v>
      </c>
      <c r="L13" s="286" t="str">
        <f>'2. Inputs and results'!B19</f>
        <v xml:space="preserve">Ventilation system with heat recovery </v>
      </c>
      <c r="M13" s="286" t="str">
        <f>'2. Inputs and results'!C19</f>
        <v>Geothermal heat pump system</v>
      </c>
    </row>
    <row r="14" spans="1:13" x14ac:dyDescent="0.25">
      <c r="C14" s="285">
        <f>'Solution 1, (hidden)'!B5</f>
        <v>0</v>
      </c>
      <c r="D14" s="285">
        <f>'Solution  2, (hidden)'!B5</f>
        <v>0</v>
      </c>
      <c r="E14" s="285">
        <f>IF('2. Inputs and results'!$C$21&gt;='2. Inputs and results'!$B$21,'Solution  2, (hidden)'!B5,'Solution 1, (hidden)'!B5)</f>
        <v>0</v>
      </c>
      <c r="F14" s="287">
        <f>'Solution 1, (hidden)'!L5</f>
        <v>156400</v>
      </c>
      <c r="G14" s="287">
        <f>'Solution  2, (hidden)'!L5</f>
        <v>212500</v>
      </c>
      <c r="H14" s="287">
        <f>'Solution 1, (hidden)'!D5</f>
        <v>0</v>
      </c>
      <c r="I14" s="287">
        <f>'Solution  2, (hidden)'!D5</f>
        <v>0</v>
      </c>
      <c r="J14" s="287">
        <f>'Solution 1, (hidden)'!K5</f>
        <v>0</v>
      </c>
      <c r="K14" s="287">
        <f>'Solution  2, (hidden)'!K5</f>
        <v>0</v>
      </c>
      <c r="L14" s="287">
        <f>'Solution 1, (hidden) (2)'!K5</f>
        <v>0</v>
      </c>
      <c r="M14" s="287">
        <f>'Solution  2, (hidden) (2)'!K5</f>
        <v>0</v>
      </c>
    </row>
    <row r="15" spans="1:13" x14ac:dyDescent="0.25">
      <c r="C15" s="285">
        <f>'Solution 1, (hidden)'!B6</f>
        <v>1</v>
      </c>
      <c r="D15" s="285">
        <f>'Solution  2, (hidden)'!B6</f>
        <v>1</v>
      </c>
      <c r="E15" s="285">
        <f>IF('2. Inputs and results'!$C$21&gt;='2. Inputs and results'!$B$21,'Solution  2, (hidden)'!B6,'Solution 1, (hidden)'!B6)</f>
        <v>1</v>
      </c>
      <c r="F15" s="289">
        <f>'Solution 1, (hidden)'!L6</f>
        <v>156400</v>
      </c>
      <c r="G15" s="289">
        <f>'Solution  2, (hidden)'!L6</f>
        <v>212500</v>
      </c>
      <c r="H15" s="287">
        <f>'Solution 1, (hidden)'!D6</f>
        <v>11460</v>
      </c>
      <c r="I15" s="287">
        <f>'Solution  2, (hidden)'!D6</f>
        <v>24600</v>
      </c>
      <c r="J15" s="287">
        <f>'Solution 1, (hidden)'!K6</f>
        <v>11460</v>
      </c>
      <c r="K15" s="287">
        <f>'Solution  2, (hidden)'!K6</f>
        <v>24600</v>
      </c>
      <c r="L15" s="287">
        <f>'Solution 1, (hidden) (2)'!K6</f>
        <v>11460</v>
      </c>
      <c r="M15" s="287">
        <f>'Solution  2, (hidden) (2)'!K6</f>
        <v>24600</v>
      </c>
    </row>
    <row r="16" spans="1:13" x14ac:dyDescent="0.25">
      <c r="C16" s="285">
        <f>'Solution 1, (hidden)'!B7</f>
        <v>2</v>
      </c>
      <c r="D16" s="285">
        <f>'Solution  2, (hidden)'!B7</f>
        <v>2</v>
      </c>
      <c r="E16" s="285">
        <f>IF('2. Inputs and results'!$C$21&gt;='2. Inputs and results'!$B$21,'Solution  2, (hidden)'!B7,'Solution 1, (hidden)'!B7)</f>
        <v>2</v>
      </c>
      <c r="F16" s="289">
        <f>'Solution 1, (hidden)'!L7</f>
        <v>156400</v>
      </c>
      <c r="G16" s="289">
        <f>'Solution  2, (hidden)'!L7</f>
        <v>212500</v>
      </c>
      <c r="H16" s="287">
        <f>'Solution 1, (hidden)'!D7</f>
        <v>22920</v>
      </c>
      <c r="I16" s="287">
        <f>'Solution  2, (hidden)'!D7</f>
        <v>49200</v>
      </c>
      <c r="J16" s="287">
        <f>'Solution 1, (hidden)'!K7</f>
        <v>23263.8</v>
      </c>
      <c r="K16" s="287">
        <f>'Solution  2, (hidden)'!K7</f>
        <v>49938</v>
      </c>
      <c r="L16" s="287">
        <f>'Solution 1, (hidden) (2)'!K7</f>
        <v>23607.599999999999</v>
      </c>
      <c r="M16" s="287">
        <f>'Solution  2, (hidden) (2)'!K7</f>
        <v>50676</v>
      </c>
    </row>
    <row r="17" spans="3:13" x14ac:dyDescent="0.25">
      <c r="C17" s="285">
        <f>'Solution 1, (hidden)'!B8</f>
        <v>3</v>
      </c>
      <c r="D17" s="285">
        <f>'Solution  2, (hidden)'!B8</f>
        <v>3</v>
      </c>
      <c r="E17" s="285">
        <f>IF('2. Inputs and results'!$C$21&gt;='2. Inputs and results'!$B$21,'Solution  2, (hidden)'!B8,'Solution 1, (hidden)'!B8)</f>
        <v>3</v>
      </c>
      <c r="F17" s="289">
        <f>'Solution 1, (hidden)'!L8</f>
        <v>156400</v>
      </c>
      <c r="G17" s="289">
        <f>'Solution  2, (hidden)'!L8</f>
        <v>212500</v>
      </c>
      <c r="H17" s="287">
        <f>'Solution 1, (hidden)'!D8</f>
        <v>34380</v>
      </c>
      <c r="I17" s="287">
        <f>'Solution  2, (hidden)'!D8</f>
        <v>73800</v>
      </c>
      <c r="J17" s="287">
        <f>'Solution 1, (hidden)'!K8</f>
        <v>35421.714</v>
      </c>
      <c r="K17" s="287">
        <f>'Solution  2, (hidden)'!K8</f>
        <v>76036.14</v>
      </c>
      <c r="L17" s="287">
        <f>'Solution 1, (hidden) (2)'!K8</f>
        <v>36484.055999999997</v>
      </c>
      <c r="M17" s="287">
        <f>'Solution  2, (hidden) (2)'!K8</f>
        <v>78316.56</v>
      </c>
    </row>
    <row r="18" spans="3:13" x14ac:dyDescent="0.25">
      <c r="C18" s="285">
        <f>'Solution 1, (hidden)'!B9</f>
        <v>4</v>
      </c>
      <c r="D18" s="285">
        <f>'Solution  2, (hidden)'!B9</f>
        <v>4</v>
      </c>
      <c r="E18" s="285">
        <f>IF('2. Inputs and results'!$C$21&gt;='2. Inputs and results'!$B$21,'Solution  2, (hidden)'!B9,'Solution 1, (hidden)'!B9)</f>
        <v>4</v>
      </c>
      <c r="F18" s="289">
        <f>'Solution 1, (hidden)'!L9</f>
        <v>156400</v>
      </c>
      <c r="G18" s="289">
        <f>'Solution  2, (hidden)'!L9</f>
        <v>212500</v>
      </c>
      <c r="H18" s="287">
        <f>'Solution 1, (hidden)'!D9</f>
        <v>45840</v>
      </c>
      <c r="I18" s="287">
        <f>'Solution  2, (hidden)'!D9</f>
        <v>98400</v>
      </c>
      <c r="J18" s="287">
        <f>'Solution 1, (hidden)'!K9</f>
        <v>47944.365420000002</v>
      </c>
      <c r="K18" s="287">
        <f>'Solution  2, (hidden)'!K9</f>
        <v>102917.2242</v>
      </c>
      <c r="L18" s="287">
        <f>'Solution 1, (hidden) (2)'!K9</f>
        <v>50133.09936</v>
      </c>
      <c r="M18" s="287">
        <f>'Solution  2, (hidden) (2)'!K9</f>
        <v>107615.5536</v>
      </c>
    </row>
    <row r="19" spans="3:13" x14ac:dyDescent="0.25">
      <c r="C19" s="285">
        <f>'Solution 1, (hidden)'!B10</f>
        <v>5</v>
      </c>
      <c r="D19" s="285">
        <f>'Solution  2, (hidden)'!B10</f>
        <v>5</v>
      </c>
      <c r="E19" s="285">
        <f>IF('2. Inputs and results'!$C$21&gt;='2. Inputs and results'!$B$21,'Solution  2, (hidden)'!B10,'Solution 1, (hidden)'!B10)</f>
        <v>5</v>
      </c>
      <c r="F19" s="289">
        <f>'Solution 1, (hidden)'!L10</f>
        <v>156400</v>
      </c>
      <c r="G19" s="289">
        <f>'Solution  2, (hidden)'!L10</f>
        <v>212500</v>
      </c>
      <c r="H19" s="287">
        <f>'Solution 1, (hidden)'!D10</f>
        <v>57300</v>
      </c>
      <c r="I19" s="287">
        <f>'Solution  2, (hidden)'!D10</f>
        <v>123000</v>
      </c>
      <c r="J19" s="287">
        <f>'Solution 1, (hidden)'!K10</f>
        <v>60842.696382600006</v>
      </c>
      <c r="K19" s="287">
        <f>'Solution  2, (hidden)'!K10</f>
        <v>130604.740926</v>
      </c>
      <c r="L19" s="287">
        <f>'Solution 1, (hidden) (2)'!K10</f>
        <v>64601.085321600003</v>
      </c>
      <c r="M19" s="287">
        <f>'Solution  2, (hidden) (2)'!K10</f>
        <v>138672.48681599999</v>
      </c>
    </row>
    <row r="20" spans="3:13" x14ac:dyDescent="0.25">
      <c r="C20" s="285">
        <f>'Solution 1, (hidden)'!B11</f>
        <v>6</v>
      </c>
      <c r="D20" s="285">
        <f>'Solution  2, (hidden)'!B11</f>
        <v>6</v>
      </c>
      <c r="E20" s="285">
        <f>IF('2. Inputs and results'!$C$21&gt;='2. Inputs and results'!$B$21,'Solution  2, (hidden)'!B11,'Solution 1, (hidden)'!B11)</f>
        <v>6</v>
      </c>
      <c r="F20" s="289">
        <f>'Solution 1, (hidden)'!L11</f>
        <v>156400</v>
      </c>
      <c r="G20" s="289">
        <f>'Solution  2, (hidden)'!L11</f>
        <v>212500</v>
      </c>
      <c r="H20" s="287">
        <f>'Solution 1, (hidden)'!D11</f>
        <v>68760</v>
      </c>
      <c r="I20" s="287">
        <f>'Solution  2, (hidden)'!D11</f>
        <v>147600</v>
      </c>
      <c r="J20" s="287">
        <f>'Solution 1, (hidden)'!K11</f>
        <v>74127.977274078003</v>
      </c>
      <c r="K20" s="287">
        <f>'Solution  2, (hidden)'!K11</f>
        <v>159122.88315378001</v>
      </c>
      <c r="L20" s="287">
        <f>'Solution 1, (hidden) (2)'!K11</f>
        <v>79937.150440896003</v>
      </c>
      <c r="M20" s="287">
        <f>'Solution  2, (hidden) (2)'!K11</f>
        <v>171592.83602495998</v>
      </c>
    </row>
    <row r="21" spans="3:13" x14ac:dyDescent="0.25">
      <c r="C21" s="285">
        <f>'Solution 1, (hidden)'!B12</f>
        <v>7</v>
      </c>
      <c r="D21" s="285">
        <f>'Solution  2, (hidden)'!B12</f>
        <v>7</v>
      </c>
      <c r="E21" s="285">
        <f>IF('2. Inputs and results'!$C$21&gt;='2. Inputs and results'!$B$21,'Solution  2, (hidden)'!B12,'Solution 1, (hidden)'!B12)</f>
        <v>7</v>
      </c>
      <c r="F21" s="289">
        <f>'Solution 1, (hidden)'!L12</f>
        <v>156400</v>
      </c>
      <c r="G21" s="289">
        <f>'Solution  2, (hidden)'!L12</f>
        <v>212500</v>
      </c>
      <c r="H21" s="287">
        <f>'Solution 1, (hidden)'!D12</f>
        <v>80220</v>
      </c>
      <c r="I21" s="287">
        <f>'Solution  2, (hidden)'!D12</f>
        <v>172200</v>
      </c>
      <c r="J21" s="287">
        <f>'Solution 1, (hidden)'!K12</f>
        <v>87811.81659230034</v>
      </c>
      <c r="K21" s="287">
        <f>'Solution  2, (hidden)'!K12</f>
        <v>188496.56964839343</v>
      </c>
      <c r="L21" s="287">
        <f>'Solution 1, (hidden) (2)'!K12</f>
        <v>96193.379467349761</v>
      </c>
      <c r="M21" s="287">
        <f>'Solution  2, (hidden) (2)'!K12</f>
        <v>206488.40618645761</v>
      </c>
    </row>
    <row r="22" spans="3:13" x14ac:dyDescent="0.25">
      <c r="C22" s="285">
        <f>'Solution 1, (hidden)'!B13</f>
        <v>8</v>
      </c>
      <c r="D22" s="285">
        <f>'Solution  2, (hidden)'!B13</f>
        <v>8</v>
      </c>
      <c r="E22" s="285">
        <f>IF('2. Inputs and results'!$C$21&gt;='2. Inputs and results'!$B$21,'Solution  2, (hidden)'!B13,'Solution 1, (hidden)'!B13)</f>
        <v>8</v>
      </c>
      <c r="F22" s="289">
        <f>'Solution 1, (hidden)'!L13</f>
        <v>156400</v>
      </c>
      <c r="G22" s="289">
        <f>'Solution  2, (hidden)'!L13</f>
        <v>212500</v>
      </c>
      <c r="H22" s="287">
        <f>'Solution 1, (hidden)'!D13</f>
        <v>91680</v>
      </c>
      <c r="I22" s="287">
        <f>'Solution  2, (hidden)'!D13</f>
        <v>196800</v>
      </c>
      <c r="J22" s="287">
        <f>'Solution 1, (hidden)'!K13</f>
        <v>101906.17109006936</v>
      </c>
      <c r="K22" s="287">
        <f>'Solution  2, (hidden)'!K13</f>
        <v>218751.46673784524</v>
      </c>
      <c r="L22" s="287">
        <f>'Solution 1, (hidden) (2)'!K13</f>
        <v>113424.98223539075</v>
      </c>
      <c r="M22" s="287">
        <f>'Solution  2, (hidden) (2)'!K13</f>
        <v>243477.71055764507</v>
      </c>
    </row>
    <row r="23" spans="3:13" x14ac:dyDescent="0.25">
      <c r="C23" s="285">
        <f>'Solution 1, (hidden)'!B14</f>
        <v>9</v>
      </c>
      <c r="D23" s="285">
        <f>'Solution  2, (hidden)'!B14</f>
        <v>9</v>
      </c>
      <c r="E23" s="285">
        <f>IF('2. Inputs and results'!$C$21&gt;='2. Inputs and results'!$B$21,'Solution  2, (hidden)'!B14,'Solution 1, (hidden)'!B14)</f>
        <v>9</v>
      </c>
      <c r="F23" s="289">
        <f>'Solution 1, (hidden)'!L14</f>
        <v>156400</v>
      </c>
      <c r="G23" s="289">
        <f>'Solution  2, (hidden)'!L14</f>
        <v>212500</v>
      </c>
      <c r="H23" s="287">
        <f>'Solution 1, (hidden)'!D14</f>
        <v>103140</v>
      </c>
      <c r="I23" s="287">
        <f>'Solution  2, (hidden)'!D14</f>
        <v>221400</v>
      </c>
      <c r="J23" s="287">
        <f>'Solution 1, (hidden)'!K14</f>
        <v>116423.35622277144</v>
      </c>
      <c r="K23" s="287">
        <f>'Solution  2, (hidden)'!K14</f>
        <v>249914.01073998061</v>
      </c>
      <c r="L23" s="287">
        <f>'Solution 1, (hidden) (2)'!K14</f>
        <v>131690.48116951418</v>
      </c>
      <c r="M23" s="287">
        <f>'Solution  2, (hidden) (2)'!K14</f>
        <v>282686.3731911038</v>
      </c>
    </row>
    <row r="24" spans="3:13" x14ac:dyDescent="0.25">
      <c r="C24" s="285">
        <f>'Solution 1, (hidden)'!B15</f>
        <v>10</v>
      </c>
      <c r="D24" s="285">
        <f>'Solution  2, (hidden)'!B15</f>
        <v>10</v>
      </c>
      <c r="E24" s="285">
        <f>IF('2. Inputs and results'!$C$21&gt;='2. Inputs and results'!$B$21,'Solution  2, (hidden)'!B15,'Solution 1, (hidden)'!B15)</f>
        <v>10</v>
      </c>
      <c r="F24" s="289">
        <f>'Solution 1, (hidden)'!L15</f>
        <v>156400</v>
      </c>
      <c r="G24" s="289">
        <f>'Solution  2, (hidden)'!L15</f>
        <v>212500</v>
      </c>
      <c r="H24" s="287">
        <f>'Solution 1, (hidden)'!D15</f>
        <v>114600</v>
      </c>
      <c r="I24" s="287">
        <f>'Solution  2, (hidden)'!D15</f>
        <v>246000</v>
      </c>
      <c r="J24" s="287">
        <f>'Solution 1, (hidden)'!K15</f>
        <v>131376.05690945458</v>
      </c>
      <c r="K24" s="287">
        <f>'Solution  2, (hidden)'!K15</f>
        <v>282011.43106218003</v>
      </c>
      <c r="L24" s="287">
        <f>'Solution 1, (hidden) (2)'!K15</f>
        <v>151051.91003968503</v>
      </c>
      <c r="M24" s="287">
        <f>'Solution  2, (hidden) (2)'!K15</f>
        <v>324247.55558257003</v>
      </c>
    </row>
    <row r="25" spans="3:13" x14ac:dyDescent="0.25">
      <c r="C25" s="285">
        <f>'Solution 1, (hidden)'!B16</f>
        <v>11</v>
      </c>
      <c r="D25" s="285">
        <f>'Solution  2, (hidden)'!B16</f>
        <v>11</v>
      </c>
      <c r="E25" s="285">
        <f>IF('2. Inputs and results'!$C$21&gt;='2. Inputs and results'!$B$21,'Solution  2, (hidden)'!B16,'Solution 1, (hidden)'!B16)</f>
        <v>11</v>
      </c>
      <c r="F25" s="289">
        <f>'Solution 1, (hidden)'!L16</f>
        <v>156400</v>
      </c>
      <c r="G25" s="289">
        <f>'Solution  2, (hidden)'!L16</f>
        <v>212500</v>
      </c>
      <c r="H25" s="287">
        <f>'Solution 1, (hidden)'!D16</f>
        <v>126060</v>
      </c>
      <c r="I25" s="287">
        <f>'Solution  2, (hidden)'!D16</f>
        <v>270600</v>
      </c>
      <c r="J25" s="287">
        <f>'Solution 1, (hidden)'!K16</f>
        <v>146777.33861673821</v>
      </c>
      <c r="K25" s="287">
        <f>'Solution  2, (hidden)'!K16</f>
        <v>315071.77399404545</v>
      </c>
      <c r="L25" s="287">
        <f>'Solution 1, (hidden) (2)'!K16</f>
        <v>171575.02464206613</v>
      </c>
      <c r="M25" s="287">
        <f>'Solution  2, (hidden) (2)'!K16</f>
        <v>368302.40891752427</v>
      </c>
    </row>
    <row r="26" spans="3:13" x14ac:dyDescent="0.25">
      <c r="C26" s="285">
        <f>'Solution 1, (hidden)'!B17</f>
        <v>12</v>
      </c>
      <c r="D26" s="285">
        <f>'Solution  2, (hidden)'!B17</f>
        <v>12</v>
      </c>
      <c r="E26" s="285">
        <f>IF('2. Inputs and results'!$C$21&gt;='2. Inputs and results'!$B$21,'Solution  2, (hidden)'!B17,'Solution 1, (hidden)'!B17)</f>
        <v>12</v>
      </c>
      <c r="F26" s="289">
        <f>'Solution 1, (hidden)'!L17</f>
        <v>156400</v>
      </c>
      <c r="G26" s="289">
        <f>'Solution  2, (hidden)'!L17</f>
        <v>212500</v>
      </c>
      <c r="H26" s="287">
        <f>'Solution 1, (hidden)'!D17</f>
        <v>137520</v>
      </c>
      <c r="I26" s="287">
        <f>'Solution  2, (hidden)'!D17</f>
        <v>295200</v>
      </c>
      <c r="J26" s="287">
        <f>'Solution 1, (hidden)'!K17</f>
        <v>162640.65877524036</v>
      </c>
      <c r="K26" s="287">
        <f>'Solution  2, (hidden)'!K17</f>
        <v>349123.92721386685</v>
      </c>
      <c r="L26" s="287">
        <f>'Solution 1, (hidden) (2)'!K17</f>
        <v>193329.5261205901</v>
      </c>
      <c r="M26" s="287">
        <f>'Solution  2, (hidden) (2)'!K17</f>
        <v>415000.55345257575</v>
      </c>
    </row>
    <row r="27" spans="3:13" x14ac:dyDescent="0.25">
      <c r="C27" s="285">
        <f>'Solution 1, (hidden)'!B18</f>
        <v>13</v>
      </c>
      <c r="D27" s="285">
        <f>'Solution  2, (hidden)'!B18</f>
        <v>13</v>
      </c>
      <c r="E27" s="285">
        <f>IF('2. Inputs and results'!$C$21&gt;='2. Inputs and results'!$B$21,'Solution  2, (hidden)'!B18,'Solution 1, (hidden)'!B18)</f>
        <v>13</v>
      </c>
      <c r="F27" s="289">
        <f>'Solution 1, (hidden)'!L18</f>
        <v>156400</v>
      </c>
      <c r="G27" s="289">
        <f>'Solution  2, (hidden)'!L18</f>
        <v>212500</v>
      </c>
      <c r="H27" s="287">
        <f>'Solution 1, (hidden)'!D18</f>
        <v>148980</v>
      </c>
      <c r="I27" s="287">
        <f>'Solution  2, (hidden)'!D18</f>
        <v>319800</v>
      </c>
      <c r="J27" s="287">
        <f>'Solution 1, (hidden)'!K18</f>
        <v>178979.87853849758</v>
      </c>
      <c r="K27" s="287">
        <f>'Solution  2, (hidden)'!K18</f>
        <v>384197.64503028285</v>
      </c>
      <c r="L27" s="287">
        <f>'Solution 1, (hidden) (2)'!K18</f>
        <v>216389.29768782551</v>
      </c>
      <c r="M27" s="287">
        <f>'Solution  2, (hidden) (2)'!K18</f>
        <v>464500.5866597303</v>
      </c>
    </row>
    <row r="28" spans="3:13" x14ac:dyDescent="0.25">
      <c r="C28" s="285">
        <f>'Solution 1, (hidden)'!B19</f>
        <v>14</v>
      </c>
      <c r="D28" s="285">
        <f>'Solution  2, (hidden)'!B19</f>
        <v>14</v>
      </c>
      <c r="E28" s="285">
        <f>IF('2. Inputs and results'!$C$21&gt;='2. Inputs and results'!$B$21,'Solution  2, (hidden)'!B19,'Solution 1, (hidden)'!B19)</f>
        <v>14</v>
      </c>
      <c r="F28" s="289">
        <f>'Solution 1, (hidden)'!L19</f>
        <v>156400</v>
      </c>
      <c r="G28" s="289">
        <f>'Solution  2, (hidden)'!L19</f>
        <v>212500</v>
      </c>
      <c r="H28" s="287">
        <f>'Solution 1, (hidden)'!D19</f>
        <v>160440</v>
      </c>
      <c r="I28" s="287">
        <f>'Solution  2, (hidden)'!D19</f>
        <v>344400</v>
      </c>
      <c r="J28" s="287">
        <f>'Solution 1, (hidden)'!K19</f>
        <v>195809.27489465251</v>
      </c>
      <c r="K28" s="287">
        <f>'Solution  2, (hidden)'!K19</f>
        <v>420323.57438119134</v>
      </c>
      <c r="L28" s="287">
        <f>'Solution 1, (hidden) (2)'!K19</f>
        <v>240832.65554909504</v>
      </c>
      <c r="M28" s="287">
        <f>'Solution  2, (hidden) (2)'!K19</f>
        <v>516970.62185931415</v>
      </c>
    </row>
    <row r="29" spans="3:13" x14ac:dyDescent="0.25">
      <c r="C29" s="285">
        <f>'Solution 1, (hidden)'!B20</f>
        <v>15</v>
      </c>
      <c r="D29" s="285">
        <f>'Solution  2, (hidden)'!B20</f>
        <v>15</v>
      </c>
      <c r="E29" s="285">
        <f>IF('2. Inputs and results'!$C$21&gt;='2. Inputs and results'!$B$21,'Solution  2, (hidden)'!B20,'Solution 1, (hidden)'!B20)</f>
        <v>15</v>
      </c>
      <c r="F29" s="289">
        <f>'Solution 1, (hidden)'!L20</f>
        <v>156400</v>
      </c>
      <c r="G29" s="289">
        <f>'Solution  2, (hidden)'!L20</f>
        <v>212500</v>
      </c>
      <c r="H29" s="287">
        <f>'Solution 1, (hidden)'!D20</f>
        <v>171900</v>
      </c>
      <c r="I29" s="287">
        <f>'Solution  2, (hidden)'!D20</f>
        <v>369000</v>
      </c>
      <c r="J29" s="287">
        <f>'Solution 1, (hidden)'!K20</f>
        <v>213143.5531414921</v>
      </c>
      <c r="K29" s="287">
        <f>'Solution  2, (hidden)'!K20</f>
        <v>457533.28161262709</v>
      </c>
      <c r="L29" s="287">
        <f>'Solution 1, (hidden) (2)'!K20</f>
        <v>266742.61488204077</v>
      </c>
      <c r="M29" s="287">
        <f>'Solution  2, (hidden) (2)'!K20</f>
        <v>572588.85917087307</v>
      </c>
    </row>
    <row r="30" spans="3:13" x14ac:dyDescent="0.25">
      <c r="C30" s="285">
        <f>'Solution 1, (hidden)'!B21</f>
        <v>16</v>
      </c>
      <c r="D30" s="285">
        <f>'Solution  2, (hidden)'!B21</f>
        <v>16</v>
      </c>
      <c r="E30" s="285">
        <f>IF('2. Inputs and results'!$C$21&gt;='2. Inputs and results'!$B$21,'Solution  2, (hidden)'!B21,'Solution 1, (hidden)'!B21)</f>
        <v>16</v>
      </c>
      <c r="F30" s="289">
        <f>'Solution 1, (hidden)'!L21</f>
        <v>156400</v>
      </c>
      <c r="G30" s="289">
        <f>'Solution  2, (hidden)'!L21</f>
        <v>212500</v>
      </c>
      <c r="H30" s="287">
        <f>'Solution 1, (hidden)'!D21</f>
        <v>183360</v>
      </c>
      <c r="I30" s="287">
        <f>'Solution  2, (hidden)'!D21</f>
        <v>393600</v>
      </c>
      <c r="J30" s="287">
        <f>'Solution 1, (hidden)'!K21</f>
        <v>230997.85973573686</v>
      </c>
      <c r="K30" s="287">
        <f>'Solution  2, (hidden)'!K21</f>
        <v>495859.28006100591</v>
      </c>
      <c r="L30" s="287">
        <f>'Solution 1, (hidden) (2)'!K21</f>
        <v>294207.17177496321</v>
      </c>
      <c r="M30" s="287">
        <f>'Solution  2, (hidden) (2)'!K21</f>
        <v>631544.19072112546</v>
      </c>
    </row>
    <row r="31" spans="3:13" x14ac:dyDescent="0.25">
      <c r="C31" s="285">
        <f>'Solution 1, (hidden)'!B22</f>
        <v>17</v>
      </c>
      <c r="D31" s="285">
        <f>'Solution  2, (hidden)'!B22</f>
        <v>17</v>
      </c>
      <c r="E31" s="285">
        <f>IF('2. Inputs and results'!$C$21&gt;='2. Inputs and results'!$B$21,'Solution  2, (hidden)'!B22,'Solution 1, (hidden)'!B22)</f>
        <v>17</v>
      </c>
      <c r="F31" s="289">
        <f>'Solution 1, (hidden)'!L22</f>
        <v>156400</v>
      </c>
      <c r="G31" s="289">
        <f>'Solution  2, (hidden)'!L22</f>
        <v>212500</v>
      </c>
      <c r="H31" s="287">
        <f>'Solution 1, (hidden)'!D22</f>
        <v>194820</v>
      </c>
      <c r="I31" s="287">
        <f>'Solution  2, (hidden)'!D22</f>
        <v>418200</v>
      </c>
      <c r="J31" s="287">
        <f>'Solution 1, (hidden)'!K22</f>
        <v>249387.79552780898</v>
      </c>
      <c r="K31" s="287">
        <f>'Solution  2, (hidden)'!K22</f>
        <v>535335.05846283608</v>
      </c>
      <c r="L31" s="287">
        <f>'Solution 1, (hidden) (2)'!K22</f>
        <v>323319.60208146099</v>
      </c>
      <c r="M31" s="287">
        <f>'Solution  2, (hidden) (2)'!K22</f>
        <v>694036.84216439305</v>
      </c>
    </row>
    <row r="32" spans="3:13" x14ac:dyDescent="0.25">
      <c r="C32" s="285">
        <f>'Solution 1, (hidden)'!B23</f>
        <v>18</v>
      </c>
      <c r="D32" s="285">
        <f>'Solution  2, (hidden)'!B23</f>
        <v>18</v>
      </c>
      <c r="E32" s="285">
        <f>IF('2. Inputs and results'!$C$21&gt;='2. Inputs and results'!$B$21,'Solution  2, (hidden)'!B23,'Solution 1, (hidden)'!B23)</f>
        <v>18</v>
      </c>
      <c r="F32" s="289">
        <f>'Solution 1, (hidden)'!L23</f>
        <v>156400</v>
      </c>
      <c r="G32" s="289">
        <f>'Solution  2, (hidden)'!L23</f>
        <v>212500</v>
      </c>
      <c r="H32" s="287">
        <f>'Solution 1, (hidden)'!D23</f>
        <v>206280</v>
      </c>
      <c r="I32" s="287">
        <f>'Solution  2, (hidden)'!D23</f>
        <v>442800</v>
      </c>
      <c r="J32" s="287">
        <f>'Solution 1, (hidden)'!K23</f>
        <v>268329.42939364328</v>
      </c>
      <c r="K32" s="287">
        <f>'Solution  2, (hidden)'!K23</f>
        <v>575995.11021672119</v>
      </c>
      <c r="L32" s="287">
        <f>'Solution 1, (hidden) (2)'!K23</f>
        <v>354178.77820634865</v>
      </c>
      <c r="M32" s="287">
        <f>'Solution  2, (hidden) (2)'!K23</f>
        <v>760279.05269425665</v>
      </c>
    </row>
    <row r="33" spans="3:13" x14ac:dyDescent="0.25">
      <c r="C33" s="285">
        <f>'Solution 1, (hidden)'!B24</f>
        <v>19</v>
      </c>
      <c r="D33" s="285">
        <f>'Solution  2, (hidden)'!B24</f>
        <v>19</v>
      </c>
      <c r="E33" s="285">
        <f>IF('2. Inputs and results'!$C$21&gt;='2. Inputs and results'!$B$21,'Solution  2, (hidden)'!B24,'Solution 1, (hidden)'!B24)</f>
        <v>19</v>
      </c>
      <c r="F33" s="289">
        <f>'Solution 1, (hidden)'!L24</f>
        <v>156400</v>
      </c>
      <c r="G33" s="289">
        <f>'Solution  2, (hidden)'!L24</f>
        <v>212500</v>
      </c>
      <c r="H33" s="287">
        <f>'Solution 1, (hidden)'!D24</f>
        <v>217740</v>
      </c>
      <c r="I33" s="287">
        <f>'Solution  2, (hidden)'!D24</f>
        <v>467400</v>
      </c>
      <c r="J33" s="287">
        <f>'Solution 1, (hidden)'!K24</f>
        <v>287839.3122754526</v>
      </c>
      <c r="K33" s="287">
        <f>'Solution  2, (hidden)'!K24</f>
        <v>617874.96352322283</v>
      </c>
      <c r="L33" s="287">
        <f>'Solution 1, (hidden) (2)'!K24</f>
        <v>386889.50489872956</v>
      </c>
      <c r="M33" s="287">
        <f>'Solution  2, (hidden) (2)'!K24</f>
        <v>830495.79585591203</v>
      </c>
    </row>
    <row r="34" spans="3:13" x14ac:dyDescent="0.25">
      <c r="C34" s="285">
        <f>'Solution 1, (hidden)'!B25</f>
        <v>20</v>
      </c>
      <c r="D34" s="285">
        <f>'Solution  2, (hidden)'!B25</f>
        <v>20</v>
      </c>
      <c r="E34" s="285">
        <f>IF('2. Inputs and results'!$C$21&gt;='2. Inputs and results'!$B$21,'Solution  2, (hidden)'!B25,'Solution 1, (hidden)'!B25)</f>
        <v>20</v>
      </c>
      <c r="F34" s="289">
        <f>'Solution 1, (hidden)'!L25</f>
        <v>156400</v>
      </c>
      <c r="G34" s="289">
        <f>'Solution  2, (hidden)'!L25</f>
        <v>212500</v>
      </c>
      <c r="H34" s="287">
        <f>'Solution 1, (hidden)'!D25</f>
        <v>229200</v>
      </c>
      <c r="I34" s="287">
        <f>'Solution  2, (hidden)'!D25</f>
        <v>492000</v>
      </c>
      <c r="J34" s="287">
        <f>'Solution 1, (hidden)'!K25</f>
        <v>307934.49164371617</v>
      </c>
      <c r="K34" s="287">
        <f>'Solution  2, (hidden)'!K25</f>
        <v>661011.21242891951</v>
      </c>
      <c r="L34" s="287">
        <f>'Solution 1, (hidden) (2)'!K25</f>
        <v>421562.87519265333</v>
      </c>
      <c r="M34" s="287">
        <f>'Solution  2, (hidden) (2)'!K25</f>
        <v>904925.54360726674</v>
      </c>
    </row>
    <row r="35" spans="3:13" x14ac:dyDescent="0.25">
      <c r="C35" s="285" t="str">
        <f>'Solution 1, (hidden)'!B26</f>
        <v xml:space="preserve"> </v>
      </c>
      <c r="D35" s="285" t="str">
        <f>'Solution  2, (hidden)'!B26</f>
        <v xml:space="preserve"> </v>
      </c>
      <c r="E35" s="285" t="str">
        <f>IF('2. Inputs and results'!$C$21&gt;='2. Inputs and results'!$B$21,'Solution  2, (hidden)'!B26,'Solution 1, (hidden)'!B26)</f>
        <v xml:space="preserve"> </v>
      </c>
      <c r="F35" s="289" t="e">
        <f>'Solution 1, (hidden)'!L26</f>
        <v>#N/A</v>
      </c>
      <c r="G35" s="289" t="e">
        <f>'Solution  2, (hidden)'!L26</f>
        <v>#N/A</v>
      </c>
      <c r="H35" s="287" t="e">
        <f>'Solution 1, (hidden)'!D26</f>
        <v>#N/A</v>
      </c>
      <c r="I35" s="287" t="e">
        <f>'Solution  2, (hidden)'!D26</f>
        <v>#N/A</v>
      </c>
      <c r="J35" s="287" t="e">
        <f>'Solution 1, (hidden)'!K26</f>
        <v>#N/A</v>
      </c>
      <c r="K35" s="287" t="e">
        <f>'Solution  2, (hidden)'!K26</f>
        <v>#N/A</v>
      </c>
      <c r="L35" s="287" t="e">
        <f>'Solution 1, (hidden) (2)'!K26</f>
        <v>#N/A</v>
      </c>
      <c r="M35" s="287" t="e">
        <f>'Solution  2, (hidden) (2)'!K26</f>
        <v>#N/A</v>
      </c>
    </row>
    <row r="36" spans="3:13" x14ac:dyDescent="0.25">
      <c r="C36" s="285" t="str">
        <f>'Solution 1, (hidden)'!B27</f>
        <v xml:space="preserve"> </v>
      </c>
      <c r="D36" s="285" t="str">
        <f>'Solution  2, (hidden)'!B27</f>
        <v xml:space="preserve"> </v>
      </c>
      <c r="E36" s="285" t="str">
        <f>IF('2. Inputs and results'!$C$21&gt;='2. Inputs and results'!$B$21,'Solution  2, (hidden)'!B27,'Solution 1, (hidden)'!B27)</f>
        <v xml:space="preserve"> </v>
      </c>
      <c r="F36" s="289" t="e">
        <f>'Solution 1, (hidden)'!L27</f>
        <v>#N/A</v>
      </c>
      <c r="G36" s="289" t="e">
        <f>'Solution  2, (hidden)'!L27</f>
        <v>#N/A</v>
      </c>
      <c r="H36" s="287" t="e">
        <f>'Solution 1, (hidden)'!D27</f>
        <v>#N/A</v>
      </c>
      <c r="I36" s="287" t="e">
        <f>'Solution  2, (hidden)'!D27</f>
        <v>#N/A</v>
      </c>
      <c r="J36" s="287" t="e">
        <f>'Solution 1, (hidden)'!K27</f>
        <v>#N/A</v>
      </c>
      <c r="K36" s="287" t="e">
        <f>'Solution  2, (hidden)'!K27</f>
        <v>#N/A</v>
      </c>
      <c r="L36" s="287" t="e">
        <f>'Solution 1, (hidden) (2)'!K27</f>
        <v>#N/A</v>
      </c>
      <c r="M36" s="287" t="e">
        <f>'Solution  2, (hidden) (2)'!K27</f>
        <v>#N/A</v>
      </c>
    </row>
    <row r="37" spans="3:13" x14ac:dyDescent="0.25">
      <c r="C37" s="285" t="str">
        <f>'Solution 1, (hidden)'!B28</f>
        <v xml:space="preserve"> </v>
      </c>
      <c r="D37" s="285" t="str">
        <f>'Solution  2, (hidden)'!B28</f>
        <v xml:space="preserve"> </v>
      </c>
      <c r="E37" s="285" t="str">
        <f>IF('2. Inputs and results'!$C$21&gt;='2. Inputs and results'!$B$21,'Solution  2, (hidden)'!B28,'Solution 1, (hidden)'!B28)</f>
        <v xml:space="preserve"> </v>
      </c>
      <c r="F37" s="289" t="e">
        <f>'Solution 1, (hidden)'!L28</f>
        <v>#N/A</v>
      </c>
      <c r="G37" s="289" t="e">
        <f>'Solution  2, (hidden)'!L28</f>
        <v>#N/A</v>
      </c>
      <c r="H37" s="287" t="e">
        <f>'Solution 1, (hidden)'!D28</f>
        <v>#N/A</v>
      </c>
      <c r="I37" s="287" t="e">
        <f>'Solution  2, (hidden)'!D28</f>
        <v>#N/A</v>
      </c>
      <c r="J37" s="287" t="e">
        <f>'Solution 1, (hidden)'!K28</f>
        <v>#N/A</v>
      </c>
      <c r="K37" s="287" t="e">
        <f>'Solution  2, (hidden)'!K28</f>
        <v>#N/A</v>
      </c>
      <c r="L37" s="287" t="e">
        <f>'Solution 1, (hidden) (2)'!K28</f>
        <v>#N/A</v>
      </c>
      <c r="M37" s="287" t="e">
        <f>'Solution  2, (hidden) (2)'!K28</f>
        <v>#N/A</v>
      </c>
    </row>
    <row r="38" spans="3:13" x14ac:dyDescent="0.25">
      <c r="C38" s="285" t="str">
        <f>'Solution 1, (hidden)'!B29</f>
        <v xml:space="preserve"> </v>
      </c>
      <c r="D38" s="285" t="str">
        <f>'Solution  2, (hidden)'!B29</f>
        <v xml:space="preserve"> </v>
      </c>
      <c r="E38" s="285" t="str">
        <f>IF('2. Inputs and results'!$C$21&gt;='2. Inputs and results'!$B$21,'Solution  2, (hidden)'!B29,'Solution 1, (hidden)'!B29)</f>
        <v xml:space="preserve"> </v>
      </c>
      <c r="F38" s="289" t="e">
        <f>'Solution 1, (hidden)'!L29</f>
        <v>#N/A</v>
      </c>
      <c r="G38" s="289" t="e">
        <f>'Solution  2, (hidden)'!L29</f>
        <v>#N/A</v>
      </c>
      <c r="H38" s="287" t="e">
        <f>'Solution 1, (hidden)'!D29</f>
        <v>#N/A</v>
      </c>
      <c r="I38" s="287" t="e">
        <f>'Solution  2, (hidden)'!D29</f>
        <v>#N/A</v>
      </c>
      <c r="J38" s="287" t="e">
        <f>'Solution 1, (hidden)'!K29</f>
        <v>#N/A</v>
      </c>
      <c r="K38" s="287" t="e">
        <f>'Solution  2, (hidden)'!K29</f>
        <v>#N/A</v>
      </c>
      <c r="L38" s="287" t="e">
        <f>'Solution 1, (hidden) (2)'!K29</f>
        <v>#N/A</v>
      </c>
      <c r="M38" s="287" t="e">
        <f>'Solution  2, (hidden) (2)'!K29</f>
        <v>#N/A</v>
      </c>
    </row>
    <row r="39" spans="3:13" x14ac:dyDescent="0.25">
      <c r="C39" s="285" t="str">
        <f>'Solution 1, (hidden)'!B30</f>
        <v xml:space="preserve"> </v>
      </c>
      <c r="D39" s="285" t="str">
        <f>'Solution  2, (hidden)'!B30</f>
        <v xml:space="preserve"> </v>
      </c>
      <c r="E39" s="285" t="str">
        <f>IF('2. Inputs and results'!$C$21&gt;='2. Inputs and results'!$B$21,'Solution  2, (hidden)'!B30,'Solution 1, (hidden)'!B30)</f>
        <v xml:space="preserve"> </v>
      </c>
      <c r="F39" s="289" t="e">
        <f>'Solution 1, (hidden)'!L30</f>
        <v>#N/A</v>
      </c>
      <c r="G39" s="289" t="e">
        <f>'Solution  2, (hidden)'!L30</f>
        <v>#N/A</v>
      </c>
      <c r="H39" s="287" t="e">
        <f>'Solution 1, (hidden)'!D30</f>
        <v>#N/A</v>
      </c>
      <c r="I39" s="287" t="e">
        <f>'Solution  2, (hidden)'!D30</f>
        <v>#N/A</v>
      </c>
      <c r="J39" s="287" t="e">
        <f>'Solution 1, (hidden)'!K30</f>
        <v>#N/A</v>
      </c>
      <c r="K39" s="287" t="e">
        <f>'Solution  2, (hidden)'!K30</f>
        <v>#N/A</v>
      </c>
      <c r="L39" s="287" t="e">
        <f>'Solution 1, (hidden) (2)'!K30</f>
        <v>#N/A</v>
      </c>
      <c r="M39" s="287" t="e">
        <f>'Solution  2, (hidden) (2)'!K30</f>
        <v>#N/A</v>
      </c>
    </row>
    <row r="40" spans="3:13" x14ac:dyDescent="0.25">
      <c r="C40" s="285" t="str">
        <f>'Solution 1, (hidden)'!B31</f>
        <v xml:space="preserve"> </v>
      </c>
      <c r="D40" s="285" t="str">
        <f>'Solution  2, (hidden)'!B31</f>
        <v xml:space="preserve"> </v>
      </c>
      <c r="E40" s="285" t="str">
        <f>IF('2. Inputs and results'!$C$21&gt;='2. Inputs and results'!$B$21,'Solution  2, (hidden)'!B31,'Solution 1, (hidden)'!B31)</f>
        <v xml:space="preserve"> </v>
      </c>
      <c r="F40" s="289" t="e">
        <f>'Solution 1, (hidden)'!L31</f>
        <v>#N/A</v>
      </c>
      <c r="G40" s="289" t="e">
        <f>'Solution  2, (hidden)'!L31</f>
        <v>#N/A</v>
      </c>
      <c r="H40" s="287" t="e">
        <f>'Solution 1, (hidden)'!D31</f>
        <v>#N/A</v>
      </c>
      <c r="I40" s="287" t="e">
        <f>'Solution  2, (hidden)'!D31</f>
        <v>#N/A</v>
      </c>
      <c r="J40" s="287" t="e">
        <f>'Solution 1, (hidden)'!K31</f>
        <v>#N/A</v>
      </c>
      <c r="K40" s="287" t="e">
        <f>'Solution  2, (hidden)'!K31</f>
        <v>#N/A</v>
      </c>
      <c r="L40" s="287" t="e">
        <f>'Solution 1, (hidden) (2)'!K31</f>
        <v>#N/A</v>
      </c>
      <c r="M40" s="287" t="e">
        <f>'Solution  2, (hidden) (2)'!K31</f>
        <v>#N/A</v>
      </c>
    </row>
    <row r="41" spans="3:13" x14ac:dyDescent="0.25">
      <c r="C41" s="285" t="str">
        <f>'Solution 1, (hidden)'!B32</f>
        <v xml:space="preserve"> </v>
      </c>
      <c r="D41" s="285" t="str">
        <f>'Solution  2, (hidden)'!B32</f>
        <v xml:space="preserve"> </v>
      </c>
      <c r="E41" s="285" t="str">
        <f>IF('2. Inputs and results'!$C$21&gt;='2. Inputs and results'!$B$21,'Solution  2, (hidden)'!B32,'Solution 1, (hidden)'!B32)</f>
        <v xml:space="preserve"> </v>
      </c>
      <c r="F41" s="289" t="e">
        <f>'Solution 1, (hidden)'!L32</f>
        <v>#N/A</v>
      </c>
      <c r="G41" s="289" t="e">
        <f>'Solution  2, (hidden)'!L32</f>
        <v>#N/A</v>
      </c>
      <c r="H41" s="287" t="e">
        <f>'Solution 1, (hidden)'!D32</f>
        <v>#N/A</v>
      </c>
      <c r="I41" s="287" t="e">
        <f>'Solution  2, (hidden)'!D32</f>
        <v>#N/A</v>
      </c>
      <c r="J41" s="287" t="e">
        <f>'Solution 1, (hidden)'!K32</f>
        <v>#N/A</v>
      </c>
      <c r="K41" s="287" t="e">
        <f>'Solution  2, (hidden)'!K32</f>
        <v>#N/A</v>
      </c>
      <c r="L41" s="287" t="e">
        <f>'Solution 1, (hidden) (2)'!K32</f>
        <v>#N/A</v>
      </c>
      <c r="M41" s="287" t="e">
        <f>'Solution  2, (hidden) (2)'!K32</f>
        <v>#N/A</v>
      </c>
    </row>
    <row r="42" spans="3:13" x14ac:dyDescent="0.25">
      <c r="C42" s="285" t="str">
        <f>'Solution 1, (hidden)'!B33</f>
        <v xml:space="preserve"> </v>
      </c>
      <c r="D42" s="285" t="str">
        <f>'Solution  2, (hidden)'!B33</f>
        <v xml:space="preserve"> </v>
      </c>
      <c r="E42" s="285" t="str">
        <f>IF('2. Inputs and results'!$C$21&gt;='2. Inputs and results'!$B$21,'Solution  2, (hidden)'!B33,'Solution 1, (hidden)'!B33)</f>
        <v xml:space="preserve"> </v>
      </c>
      <c r="F42" s="289" t="e">
        <f>'Solution 1, (hidden)'!L33</f>
        <v>#N/A</v>
      </c>
      <c r="G42" s="289" t="e">
        <f>'Solution  2, (hidden)'!L33</f>
        <v>#N/A</v>
      </c>
      <c r="H42" s="287" t="e">
        <f>'Solution 1, (hidden)'!D33</f>
        <v>#N/A</v>
      </c>
      <c r="I42" s="287" t="e">
        <f>'Solution  2, (hidden)'!D33</f>
        <v>#N/A</v>
      </c>
      <c r="J42" s="287" t="e">
        <f>'Solution 1, (hidden)'!K33</f>
        <v>#N/A</v>
      </c>
      <c r="K42" s="287" t="e">
        <f>'Solution  2, (hidden)'!K33</f>
        <v>#N/A</v>
      </c>
      <c r="L42" s="287" t="e">
        <f>'Solution 1, (hidden) (2)'!K33</f>
        <v>#N/A</v>
      </c>
      <c r="M42" s="287" t="e">
        <f>'Solution  2, (hidden) (2)'!K33</f>
        <v>#N/A</v>
      </c>
    </row>
    <row r="43" spans="3:13" x14ac:dyDescent="0.25">
      <c r="C43" s="285" t="str">
        <f>'Solution 1, (hidden)'!B34</f>
        <v xml:space="preserve"> </v>
      </c>
      <c r="D43" s="285" t="str">
        <f>'Solution  2, (hidden)'!B34</f>
        <v xml:space="preserve"> </v>
      </c>
      <c r="E43" s="285" t="str">
        <f>IF('2. Inputs and results'!$C$21&gt;='2. Inputs and results'!$B$21,'Solution  2, (hidden)'!B34,'Solution 1, (hidden)'!B34)</f>
        <v xml:space="preserve"> </v>
      </c>
      <c r="F43" s="289" t="e">
        <f>'Solution 1, (hidden)'!L34</f>
        <v>#N/A</v>
      </c>
      <c r="G43" s="289" t="e">
        <f>'Solution  2, (hidden)'!L34</f>
        <v>#N/A</v>
      </c>
      <c r="H43" s="287" t="e">
        <f>'Solution 1, (hidden)'!D34</f>
        <v>#N/A</v>
      </c>
      <c r="I43" s="287" t="e">
        <f>'Solution  2, (hidden)'!D34</f>
        <v>#N/A</v>
      </c>
      <c r="J43" s="287" t="e">
        <f>'Solution 1, (hidden)'!K34</f>
        <v>#N/A</v>
      </c>
      <c r="K43" s="287" t="e">
        <f>'Solution  2, (hidden)'!K34</f>
        <v>#N/A</v>
      </c>
      <c r="L43" s="287" t="e">
        <f>'Solution 1, (hidden) (2)'!K34</f>
        <v>#N/A</v>
      </c>
      <c r="M43" s="287" t="e">
        <f>'Solution  2, (hidden) (2)'!K34</f>
        <v>#N/A</v>
      </c>
    </row>
    <row r="44" spans="3:13" x14ac:dyDescent="0.25">
      <c r="C44" s="285" t="str">
        <f>'Solution 1, (hidden)'!B35</f>
        <v xml:space="preserve"> </v>
      </c>
      <c r="D44" s="285" t="str">
        <f>'Solution  2, (hidden)'!B35</f>
        <v xml:space="preserve"> </v>
      </c>
      <c r="E44" s="285" t="str">
        <f>IF('2. Inputs and results'!$C$21&gt;='2. Inputs and results'!$B$21,'Solution  2, (hidden)'!B35,'Solution 1, (hidden)'!B35)</f>
        <v xml:space="preserve"> </v>
      </c>
      <c r="F44" s="289" t="e">
        <f>'Solution 1, (hidden)'!L35</f>
        <v>#N/A</v>
      </c>
      <c r="G44" s="289" t="e">
        <f>'Solution  2, (hidden)'!L35</f>
        <v>#N/A</v>
      </c>
      <c r="H44" s="287" t="e">
        <f>'Solution 1, (hidden)'!D35</f>
        <v>#N/A</v>
      </c>
      <c r="I44" s="287" t="e">
        <f>'Solution  2, (hidden)'!D35</f>
        <v>#N/A</v>
      </c>
      <c r="J44" s="287" t="e">
        <f>'Solution 1, (hidden)'!K35</f>
        <v>#N/A</v>
      </c>
      <c r="K44" s="287" t="e">
        <f>'Solution  2, (hidden)'!K35</f>
        <v>#N/A</v>
      </c>
      <c r="L44" s="287" t="e">
        <f>'Solution 1, (hidden) (2)'!K35</f>
        <v>#N/A</v>
      </c>
      <c r="M44" s="287" t="e">
        <f>'Solution  2, (hidden) (2)'!K35</f>
        <v>#N/A</v>
      </c>
    </row>
    <row r="45" spans="3:13" x14ac:dyDescent="0.25">
      <c r="C45" s="285" t="str">
        <f>'Solution 1, (hidden)'!B36</f>
        <v xml:space="preserve"> </v>
      </c>
      <c r="D45" s="285" t="str">
        <f>'Solution  2, (hidden)'!B36</f>
        <v xml:space="preserve"> </v>
      </c>
      <c r="E45" s="285" t="str">
        <f>IF('2. Inputs and results'!$C$21&gt;='2. Inputs and results'!$B$21,'Solution  2, (hidden)'!B36,'Solution 1, (hidden)'!B36)</f>
        <v xml:space="preserve"> </v>
      </c>
      <c r="F45" s="290" t="e">
        <f>'Solution 1, (hidden)'!L36</f>
        <v>#N/A</v>
      </c>
      <c r="G45" s="290" t="e">
        <f>'Solution  2, (hidden)'!L36</f>
        <v>#N/A</v>
      </c>
      <c r="H45" s="288" t="e">
        <f>'Solution 1, (hidden)'!D36</f>
        <v>#N/A</v>
      </c>
      <c r="I45" s="288" t="e">
        <f>'Solution  2, (hidden)'!D36</f>
        <v>#N/A</v>
      </c>
      <c r="J45" s="288" t="e">
        <f>'Solution 1, (hidden)'!K36</f>
        <v>#N/A</v>
      </c>
      <c r="K45" s="288" t="e">
        <f>'Solution  2, (hidden)'!K36</f>
        <v>#N/A</v>
      </c>
      <c r="L45" s="287" t="e">
        <f>'Solution 1, (hidden) (2)'!K36</f>
        <v>#N/A</v>
      </c>
      <c r="M45" s="287" t="e">
        <f>'Solution  2, (hidden) (2)'!K36</f>
        <v>#N/A</v>
      </c>
    </row>
    <row r="46" spans="3:13" x14ac:dyDescent="0.25">
      <c r="C46" s="285" t="str">
        <f>'Solution 1, (hidden)'!B37</f>
        <v xml:space="preserve"> </v>
      </c>
      <c r="D46" s="285" t="str">
        <f>'Solution  2, (hidden)'!B37</f>
        <v xml:space="preserve"> </v>
      </c>
      <c r="E46" s="285" t="str">
        <f>IF('2. Inputs and results'!$C$21&gt;='2. Inputs and results'!$B$21,'Solution  2, (hidden)'!B37,'Solution 1, (hidden)'!B37)</f>
        <v xml:space="preserve"> </v>
      </c>
      <c r="F46" s="290" t="e">
        <f>'Solution 1, (hidden)'!L37</f>
        <v>#N/A</v>
      </c>
      <c r="G46" s="290" t="e">
        <f>'Solution  2, (hidden)'!L37</f>
        <v>#N/A</v>
      </c>
      <c r="H46" s="288" t="e">
        <f>'Solution 1, (hidden)'!D37</f>
        <v>#N/A</v>
      </c>
      <c r="I46" s="288" t="e">
        <f>'Solution  2, (hidden)'!D37</f>
        <v>#N/A</v>
      </c>
      <c r="J46" s="288" t="e">
        <f>'Solution 1, (hidden)'!K37</f>
        <v>#N/A</v>
      </c>
      <c r="K46" s="288" t="e">
        <f>'Solution  2, (hidden)'!K37</f>
        <v>#N/A</v>
      </c>
      <c r="L46" s="287" t="e">
        <f>'Solution 1, (hidden) (2)'!K37</f>
        <v>#N/A</v>
      </c>
      <c r="M46" s="287" t="e">
        <f>'Solution  2, (hidden) (2)'!K37</f>
        <v>#N/A</v>
      </c>
    </row>
    <row r="47" spans="3:13" x14ac:dyDescent="0.25">
      <c r="C47" s="285" t="str">
        <f>'Solution 1, (hidden)'!B38</f>
        <v xml:space="preserve"> </v>
      </c>
      <c r="D47" s="285" t="str">
        <f>'Solution  2, (hidden)'!B38</f>
        <v xml:space="preserve"> </v>
      </c>
      <c r="E47" s="285" t="str">
        <f>IF('2. Inputs and results'!$C$21&gt;='2. Inputs and results'!$B$21,'Solution  2, (hidden)'!B38,'Solution 1, (hidden)'!B38)</f>
        <v xml:space="preserve"> </v>
      </c>
      <c r="F47" s="290" t="e">
        <f>'Solution 1, (hidden)'!L38</f>
        <v>#N/A</v>
      </c>
      <c r="G47" s="290" t="e">
        <f>'Solution  2, (hidden)'!L38</f>
        <v>#N/A</v>
      </c>
      <c r="H47" s="288" t="e">
        <f>'Solution 1, (hidden)'!D38</f>
        <v>#N/A</v>
      </c>
      <c r="I47" s="288" t="e">
        <f>'Solution  2, (hidden)'!D38</f>
        <v>#N/A</v>
      </c>
      <c r="J47" s="288" t="e">
        <f>'Solution 1, (hidden)'!K38</f>
        <v>#N/A</v>
      </c>
      <c r="K47" s="288" t="e">
        <f>'Solution  2, (hidden)'!K38</f>
        <v>#N/A</v>
      </c>
      <c r="L47" s="287" t="e">
        <f>'Solution 1, (hidden) (2)'!K38</f>
        <v>#N/A</v>
      </c>
      <c r="M47" s="287" t="e">
        <f>'Solution  2, (hidden) (2)'!K38</f>
        <v>#N/A</v>
      </c>
    </row>
    <row r="48" spans="3:13" x14ac:dyDescent="0.25">
      <c r="C48" s="285" t="str">
        <f>'Solution 1, (hidden)'!B39</f>
        <v xml:space="preserve"> </v>
      </c>
      <c r="D48" s="285" t="str">
        <f>'Solution  2, (hidden)'!B39</f>
        <v xml:space="preserve"> </v>
      </c>
      <c r="E48" s="285" t="str">
        <f>IF('2. Inputs and results'!$C$21&gt;='2. Inputs and results'!$B$21,'Solution  2, (hidden)'!B39,'Solution 1, (hidden)'!B39)</f>
        <v xml:space="preserve"> </v>
      </c>
      <c r="F48" s="290" t="e">
        <f>'Solution 1, (hidden)'!L39</f>
        <v>#N/A</v>
      </c>
      <c r="G48" s="290" t="e">
        <f>'Solution  2, (hidden)'!L39</f>
        <v>#N/A</v>
      </c>
      <c r="H48" s="288" t="e">
        <f>'Solution 1, (hidden)'!D39</f>
        <v>#N/A</v>
      </c>
      <c r="I48" s="288" t="e">
        <f>'Solution  2, (hidden)'!D39</f>
        <v>#N/A</v>
      </c>
      <c r="J48" s="288" t="e">
        <f>'Solution 1, (hidden)'!K39</f>
        <v>#N/A</v>
      </c>
      <c r="K48" s="288" t="e">
        <f>'Solution  2, (hidden)'!K39</f>
        <v>#N/A</v>
      </c>
      <c r="L48" s="287" t="e">
        <f>'Solution 1, (hidden) (2)'!K39</f>
        <v>#N/A</v>
      </c>
      <c r="M48" s="287" t="e">
        <f>'Solution  2, (hidden) (2)'!K39</f>
        <v>#N/A</v>
      </c>
    </row>
    <row r="49" spans="3:13" x14ac:dyDescent="0.25">
      <c r="C49" s="285" t="str">
        <f>'Solution 1, (hidden)'!B40</f>
        <v xml:space="preserve"> </v>
      </c>
      <c r="D49" s="285" t="str">
        <f>'Solution  2, (hidden)'!B40</f>
        <v xml:space="preserve"> </v>
      </c>
      <c r="E49" s="285" t="str">
        <f>IF('2. Inputs and results'!$C$21&gt;='2. Inputs and results'!$B$21,'Solution  2, (hidden)'!B40,'Solution 1, (hidden)'!B40)</f>
        <v xml:space="preserve"> </v>
      </c>
      <c r="F49" s="290" t="e">
        <f>'Solution 1, (hidden)'!L40</f>
        <v>#N/A</v>
      </c>
      <c r="G49" s="290" t="e">
        <f>'Solution  2, (hidden)'!L40</f>
        <v>#N/A</v>
      </c>
      <c r="H49" s="288" t="e">
        <f>'Solution 1, (hidden)'!D40</f>
        <v>#N/A</v>
      </c>
      <c r="I49" s="288" t="e">
        <f>'Solution  2, (hidden)'!D40</f>
        <v>#N/A</v>
      </c>
      <c r="J49" s="288" t="e">
        <f>'Solution 1, (hidden)'!K40</f>
        <v>#N/A</v>
      </c>
      <c r="K49" s="288" t="e">
        <f>'Solution  2, (hidden)'!K40</f>
        <v>#N/A</v>
      </c>
      <c r="L49" s="287" t="e">
        <f>'Solution 1, (hidden) (2)'!K40</f>
        <v>#N/A</v>
      </c>
      <c r="M49" s="287" t="e">
        <f>'Solution  2, (hidden) (2)'!K40</f>
        <v>#N/A</v>
      </c>
    </row>
    <row r="50" spans="3:13" x14ac:dyDescent="0.25">
      <c r="C50" s="285" t="str">
        <f>'Solution 1, (hidden)'!B41</f>
        <v xml:space="preserve"> </v>
      </c>
      <c r="D50" s="285" t="str">
        <f>'Solution  2, (hidden)'!B41</f>
        <v xml:space="preserve"> </v>
      </c>
      <c r="E50" s="285" t="str">
        <f>IF('2. Inputs and results'!$C$21&gt;='2. Inputs and results'!$B$21,'Solution  2, (hidden)'!B41,'Solution 1, (hidden)'!B41)</f>
        <v xml:space="preserve"> </v>
      </c>
      <c r="F50" s="290" t="e">
        <f>'Solution 1, (hidden)'!L41</f>
        <v>#N/A</v>
      </c>
      <c r="G50" s="290" t="e">
        <f>'Solution  2, (hidden)'!L41</f>
        <v>#N/A</v>
      </c>
      <c r="H50" s="288" t="e">
        <f>'Solution 1, (hidden)'!D41</f>
        <v>#N/A</v>
      </c>
      <c r="I50" s="288" t="e">
        <f>'Solution  2, (hidden)'!D41</f>
        <v>#N/A</v>
      </c>
      <c r="J50" s="288" t="e">
        <f>'Solution 1, (hidden)'!K41</f>
        <v>#N/A</v>
      </c>
      <c r="K50" s="288" t="e">
        <f>'Solution  2, (hidden)'!K41</f>
        <v>#N/A</v>
      </c>
      <c r="L50" s="287" t="e">
        <f>'Solution 1, (hidden) (2)'!K41</f>
        <v>#N/A</v>
      </c>
      <c r="M50" s="287" t="e">
        <f>'Solution  2, (hidden) (2)'!K41</f>
        <v>#N/A</v>
      </c>
    </row>
    <row r="51" spans="3:13" x14ac:dyDescent="0.25">
      <c r="C51" s="285" t="str">
        <f>'Solution 1, (hidden)'!B42</f>
        <v xml:space="preserve"> </v>
      </c>
      <c r="D51" s="285" t="str">
        <f>'Solution  2, (hidden)'!B42</f>
        <v xml:space="preserve"> </v>
      </c>
      <c r="E51" s="285" t="str">
        <f>IF('2. Inputs and results'!$C$21&gt;='2. Inputs and results'!$B$21,'Solution  2, (hidden)'!B42,'Solution 1, (hidden)'!B42)</f>
        <v xml:space="preserve"> </v>
      </c>
      <c r="F51" s="290" t="e">
        <f>'Solution 1, (hidden)'!L42</f>
        <v>#N/A</v>
      </c>
      <c r="G51" s="290" t="e">
        <f>'Solution  2, (hidden)'!L42</f>
        <v>#N/A</v>
      </c>
      <c r="H51" s="288" t="e">
        <f>'Solution 1, (hidden)'!D42</f>
        <v>#N/A</v>
      </c>
      <c r="I51" s="288" t="e">
        <f>'Solution  2, (hidden)'!D42</f>
        <v>#N/A</v>
      </c>
      <c r="J51" s="288" t="e">
        <f>'Solution 1, (hidden)'!K42</f>
        <v>#N/A</v>
      </c>
      <c r="K51" s="288" t="e">
        <f>'Solution  2, (hidden)'!K42</f>
        <v>#N/A</v>
      </c>
      <c r="L51" s="287" t="e">
        <f>'Solution 1, (hidden) (2)'!K42</f>
        <v>#N/A</v>
      </c>
      <c r="M51" s="287" t="e">
        <f>'Solution  2, (hidden) (2)'!K42</f>
        <v>#N/A</v>
      </c>
    </row>
    <row r="52" spans="3:13" x14ac:dyDescent="0.25">
      <c r="C52" s="285" t="str">
        <f>'Solution 1, (hidden)'!B43</f>
        <v xml:space="preserve"> </v>
      </c>
      <c r="D52" s="285" t="str">
        <f>'Solution  2, (hidden)'!B43</f>
        <v xml:space="preserve"> </v>
      </c>
      <c r="E52" s="285" t="str">
        <f>IF('2. Inputs and results'!$C$21&gt;='2. Inputs and results'!$B$21,'Solution  2, (hidden)'!B43,'Solution 1, (hidden)'!B43)</f>
        <v xml:space="preserve"> </v>
      </c>
      <c r="F52" s="290" t="e">
        <f>'Solution 1, (hidden)'!L43</f>
        <v>#N/A</v>
      </c>
      <c r="G52" s="290" t="e">
        <f>'Solution  2, (hidden)'!L43</f>
        <v>#N/A</v>
      </c>
      <c r="H52" s="288" t="e">
        <f>'Solution 1, (hidden)'!D43</f>
        <v>#N/A</v>
      </c>
      <c r="I52" s="288" t="e">
        <f>'Solution  2, (hidden)'!D43</f>
        <v>#N/A</v>
      </c>
      <c r="J52" s="288" t="e">
        <f>'Solution 1, (hidden)'!K43</f>
        <v>#N/A</v>
      </c>
      <c r="K52" s="288" t="e">
        <f>'Solution  2, (hidden)'!K43</f>
        <v>#N/A</v>
      </c>
      <c r="L52" s="287" t="e">
        <f>'Solution 1, (hidden) (2)'!K43</f>
        <v>#N/A</v>
      </c>
      <c r="M52" s="287" t="e">
        <f>'Solution  2, (hidden) (2)'!K43</f>
        <v>#N/A</v>
      </c>
    </row>
    <row r="53" spans="3:13" x14ac:dyDescent="0.25">
      <c r="C53" s="285" t="str">
        <f>'Solution 1, (hidden)'!B44</f>
        <v xml:space="preserve"> </v>
      </c>
      <c r="D53" s="285" t="str">
        <f>'Solution  2, (hidden)'!B44</f>
        <v xml:space="preserve"> </v>
      </c>
      <c r="E53" s="285" t="str">
        <f>IF('2. Inputs and results'!$C$21&gt;='2. Inputs and results'!$B$21,'Solution  2, (hidden)'!B44,'Solution 1, (hidden)'!B44)</f>
        <v xml:space="preserve"> </v>
      </c>
      <c r="F53" s="290" t="e">
        <f>'Solution 1, (hidden)'!L44</f>
        <v>#N/A</v>
      </c>
      <c r="G53" s="290" t="e">
        <f>'Solution  2, (hidden)'!L44</f>
        <v>#N/A</v>
      </c>
      <c r="H53" s="288" t="e">
        <f>'Solution 1, (hidden)'!D44</f>
        <v>#N/A</v>
      </c>
      <c r="I53" s="288" t="e">
        <f>'Solution  2, (hidden)'!D44</f>
        <v>#N/A</v>
      </c>
      <c r="J53" s="288" t="e">
        <f>'Solution 1, (hidden)'!K44</f>
        <v>#N/A</v>
      </c>
      <c r="K53" s="288" t="e">
        <f>'Solution  2, (hidden)'!K44</f>
        <v>#N/A</v>
      </c>
      <c r="L53" s="287" t="e">
        <f>'Solution 1, (hidden) (2)'!K44</f>
        <v>#N/A</v>
      </c>
      <c r="M53" s="287" t="e">
        <f>'Solution  2, (hidden) (2)'!K44</f>
        <v>#N/A</v>
      </c>
    </row>
    <row r="54" spans="3:13" x14ac:dyDescent="0.25">
      <c r="C54" s="285" t="str">
        <f>'Solution 1, (hidden)'!B45</f>
        <v xml:space="preserve"> </v>
      </c>
      <c r="D54" s="285" t="str">
        <f>'Solution  2, (hidden)'!B45</f>
        <v xml:space="preserve"> </v>
      </c>
      <c r="E54" s="285" t="str">
        <f>IF('2. Inputs and results'!$C$21&gt;='2. Inputs and results'!$B$21,'Solution  2, (hidden)'!B45,'Solution 1, (hidden)'!B45)</f>
        <v xml:space="preserve"> </v>
      </c>
      <c r="F54" s="290" t="e">
        <f>'Solution 1, (hidden)'!L45</f>
        <v>#N/A</v>
      </c>
      <c r="G54" s="290" t="e">
        <f>'Solution  2, (hidden)'!L45</f>
        <v>#N/A</v>
      </c>
      <c r="H54" s="288" t="e">
        <f>'Solution 1, (hidden)'!D45</f>
        <v>#N/A</v>
      </c>
      <c r="I54" s="288" t="e">
        <f>'Solution  2, (hidden)'!D45</f>
        <v>#N/A</v>
      </c>
      <c r="J54" s="288" t="e">
        <f>'Solution 1, (hidden)'!K45</f>
        <v>#N/A</v>
      </c>
      <c r="K54" s="288" t="e">
        <f>'Solution  2, (hidden)'!K45</f>
        <v>#N/A</v>
      </c>
      <c r="L54" s="287" t="e">
        <f>'Solution 1, (hidden) (2)'!K45</f>
        <v>#N/A</v>
      </c>
      <c r="M54" s="287" t="e">
        <f>'Solution  2, (hidden) (2)'!K45</f>
        <v>#N/A</v>
      </c>
    </row>
    <row r="55" spans="3:13" x14ac:dyDescent="0.25">
      <c r="C55" s="285" t="str">
        <f>'Solution 1, (hidden)'!B46</f>
        <v xml:space="preserve"> </v>
      </c>
      <c r="D55" s="285" t="str">
        <f>'Solution  2, (hidden)'!B46</f>
        <v xml:space="preserve"> </v>
      </c>
      <c r="E55" s="285" t="str">
        <f>IF('2. Inputs and results'!$C$21&gt;='2. Inputs and results'!$B$21,'Solution  2, (hidden)'!B46,'Solution 1, (hidden)'!B46)</f>
        <v xml:space="preserve"> </v>
      </c>
      <c r="F55" s="290" t="e">
        <f>'Solution 1, (hidden)'!L46</f>
        <v>#N/A</v>
      </c>
      <c r="G55" s="290" t="e">
        <f>'Solution  2, (hidden)'!L46</f>
        <v>#N/A</v>
      </c>
      <c r="H55" s="288" t="e">
        <f>'Solution 1, (hidden)'!D46</f>
        <v>#N/A</v>
      </c>
      <c r="I55" s="288" t="e">
        <f>'Solution  2, (hidden)'!D46</f>
        <v>#N/A</v>
      </c>
      <c r="J55" s="288" t="e">
        <f>'Solution 1, (hidden)'!K46</f>
        <v>#N/A</v>
      </c>
      <c r="K55" s="288" t="e">
        <f>'Solution  2, (hidden)'!K46</f>
        <v>#N/A</v>
      </c>
      <c r="L55" s="287" t="e">
        <f>'Solution 1, (hidden) (2)'!K46</f>
        <v>#N/A</v>
      </c>
      <c r="M55" s="287" t="e">
        <f>'Solution  2, (hidden) (2)'!K46</f>
        <v>#N/A</v>
      </c>
    </row>
    <row r="56" spans="3:13" x14ac:dyDescent="0.25">
      <c r="C56" s="285" t="str">
        <f>'Solution 1, (hidden)'!B47</f>
        <v xml:space="preserve"> </v>
      </c>
      <c r="D56" s="285" t="str">
        <f>'Solution  2, (hidden)'!B47</f>
        <v xml:space="preserve"> </v>
      </c>
      <c r="E56" s="285" t="str">
        <f>IF('2. Inputs and results'!$C$21&gt;='2. Inputs and results'!$B$21,'Solution  2, (hidden)'!B47,'Solution 1, (hidden)'!B47)</f>
        <v xml:space="preserve"> </v>
      </c>
      <c r="F56" s="290" t="e">
        <f>'Solution 1, (hidden)'!L47</f>
        <v>#N/A</v>
      </c>
      <c r="G56" s="290" t="e">
        <f>'Solution  2, (hidden)'!L47</f>
        <v>#N/A</v>
      </c>
      <c r="H56" s="288" t="e">
        <f>'Solution 1, (hidden)'!D47</f>
        <v>#N/A</v>
      </c>
      <c r="I56" s="288" t="e">
        <f>'Solution  2, (hidden)'!D47</f>
        <v>#N/A</v>
      </c>
      <c r="J56" s="288" t="e">
        <f>'Solution 1, (hidden)'!K47</f>
        <v>#N/A</v>
      </c>
      <c r="K56" s="288" t="e">
        <f>'Solution  2, (hidden)'!K47</f>
        <v>#N/A</v>
      </c>
      <c r="L56" s="287" t="e">
        <f>'Solution 1, (hidden) (2)'!K47</f>
        <v>#N/A</v>
      </c>
      <c r="M56" s="287" t="e">
        <f>'Solution  2, (hidden) (2)'!K47</f>
        <v>#N/A</v>
      </c>
    </row>
    <row r="57" spans="3:13" x14ac:dyDescent="0.25">
      <c r="C57" s="285" t="str">
        <f>'Solution 1, (hidden)'!B48</f>
        <v xml:space="preserve"> </v>
      </c>
      <c r="D57" s="285" t="str">
        <f>'Solution  2, (hidden)'!B48</f>
        <v xml:space="preserve"> </v>
      </c>
      <c r="E57" s="285" t="str">
        <f>IF('2. Inputs and results'!$C$21&gt;='2. Inputs and results'!$B$21,'Solution  2, (hidden)'!B48,'Solution 1, (hidden)'!B48)</f>
        <v xml:space="preserve"> </v>
      </c>
      <c r="F57" s="290" t="e">
        <f>'Solution 1, (hidden)'!L48</f>
        <v>#N/A</v>
      </c>
      <c r="G57" s="290" t="e">
        <f>'Solution  2, (hidden)'!L48</f>
        <v>#N/A</v>
      </c>
      <c r="H57" s="288" t="e">
        <f>'Solution 1, (hidden)'!D48</f>
        <v>#N/A</v>
      </c>
      <c r="I57" s="288" t="e">
        <f>'Solution  2, (hidden)'!D48</f>
        <v>#N/A</v>
      </c>
      <c r="J57" s="288" t="e">
        <f>'Solution 1, (hidden)'!K48</f>
        <v>#N/A</v>
      </c>
      <c r="K57" s="288" t="e">
        <f>'Solution  2, (hidden)'!K48</f>
        <v>#N/A</v>
      </c>
      <c r="L57" s="287" t="e">
        <f>'Solution 1, (hidden) (2)'!K48</f>
        <v>#N/A</v>
      </c>
      <c r="M57" s="287" t="e">
        <f>'Solution  2, (hidden) (2)'!K48</f>
        <v>#N/A</v>
      </c>
    </row>
    <row r="58" spans="3:13" x14ac:dyDescent="0.25">
      <c r="C58" s="285" t="str">
        <f>'Solution 1, (hidden)'!B49</f>
        <v xml:space="preserve"> </v>
      </c>
      <c r="D58" s="285" t="str">
        <f>'Solution  2, (hidden)'!B49</f>
        <v xml:space="preserve"> </v>
      </c>
      <c r="E58" s="285" t="str">
        <f>IF('2. Inputs and results'!$C$21&gt;='2. Inputs and results'!$B$21,'Solution  2, (hidden)'!B49,'Solution 1, (hidden)'!B49)</f>
        <v xml:space="preserve"> </v>
      </c>
      <c r="F58" s="290" t="e">
        <f>'Solution 1, (hidden)'!L49</f>
        <v>#N/A</v>
      </c>
      <c r="G58" s="290" t="e">
        <f>'Solution  2, (hidden)'!L49</f>
        <v>#N/A</v>
      </c>
      <c r="H58" s="288" t="e">
        <f>'Solution 1, (hidden)'!D49</f>
        <v>#N/A</v>
      </c>
      <c r="I58" s="288" t="e">
        <f>'Solution  2, (hidden)'!D49</f>
        <v>#N/A</v>
      </c>
      <c r="J58" s="288" t="e">
        <f>'Solution 1, (hidden)'!K49</f>
        <v>#N/A</v>
      </c>
      <c r="K58" s="288" t="e">
        <f>'Solution  2, (hidden)'!K49</f>
        <v>#N/A</v>
      </c>
      <c r="L58" s="287" t="e">
        <f>'Solution 1, (hidden) (2)'!K49</f>
        <v>#N/A</v>
      </c>
      <c r="M58" s="287" t="e">
        <f>'Solution  2, (hidden) (2)'!K49</f>
        <v>#N/A</v>
      </c>
    </row>
    <row r="59" spans="3:13" x14ac:dyDescent="0.25">
      <c r="C59" s="285" t="str">
        <f>'Solution 1, (hidden)'!B50</f>
        <v xml:space="preserve"> </v>
      </c>
      <c r="D59" s="285" t="str">
        <f>'Solution  2, (hidden)'!B50</f>
        <v xml:space="preserve"> </v>
      </c>
      <c r="E59" s="285" t="str">
        <f>IF('2. Inputs and results'!$C$21&gt;='2. Inputs and results'!$B$21,'Solution  2, (hidden)'!B50,'Solution 1, (hidden)'!B50)</f>
        <v xml:space="preserve"> </v>
      </c>
      <c r="F59" s="290" t="e">
        <f>'Solution 1, (hidden)'!L50</f>
        <v>#N/A</v>
      </c>
      <c r="G59" s="290" t="e">
        <f>'Solution  2, (hidden)'!L50</f>
        <v>#N/A</v>
      </c>
      <c r="H59" s="288" t="e">
        <f>'Solution 1, (hidden)'!D50</f>
        <v>#N/A</v>
      </c>
      <c r="I59" s="288" t="e">
        <f>'Solution  2, (hidden)'!D50</f>
        <v>#N/A</v>
      </c>
      <c r="J59" s="288" t="e">
        <f>'Solution 1, (hidden)'!K50</f>
        <v>#N/A</v>
      </c>
      <c r="K59" s="288" t="e">
        <f>'Solution  2, (hidden)'!K50</f>
        <v>#N/A</v>
      </c>
      <c r="L59" s="287" t="e">
        <f>'Solution 1, (hidden) (2)'!K50</f>
        <v>#N/A</v>
      </c>
      <c r="M59" s="287" t="e">
        <f>'Solution  2, (hidden) (2)'!K50</f>
        <v>#N/A</v>
      </c>
    </row>
    <row r="60" spans="3:13" x14ac:dyDescent="0.25">
      <c r="C60" s="285" t="str">
        <f>'Solution 1, (hidden)'!B51</f>
        <v xml:space="preserve"> </v>
      </c>
      <c r="D60" s="285" t="str">
        <f>'Solution  2, (hidden)'!B51</f>
        <v xml:space="preserve"> </v>
      </c>
      <c r="E60" s="285" t="str">
        <f>IF('2. Inputs and results'!$C$21&gt;='2. Inputs and results'!$B$21,'Solution  2, (hidden)'!B51,'Solution 1, (hidden)'!B51)</f>
        <v xml:space="preserve"> </v>
      </c>
      <c r="F60" s="290" t="e">
        <f>'Solution 1, (hidden)'!L51</f>
        <v>#N/A</v>
      </c>
      <c r="G60" s="290" t="e">
        <f>'Solution  2, (hidden)'!L51</f>
        <v>#N/A</v>
      </c>
      <c r="H60" s="288" t="e">
        <f>'Solution 1, (hidden)'!D51</f>
        <v>#N/A</v>
      </c>
      <c r="I60" s="288" t="e">
        <f>'Solution  2, (hidden)'!D51</f>
        <v>#N/A</v>
      </c>
      <c r="J60" s="288" t="e">
        <f>'Solution 1, (hidden)'!K51</f>
        <v>#N/A</v>
      </c>
      <c r="K60" s="288" t="e">
        <f>'Solution  2, (hidden)'!K51</f>
        <v>#N/A</v>
      </c>
      <c r="L60" s="287" t="e">
        <f>'Solution 1, (hidden) (2)'!K51</f>
        <v>#N/A</v>
      </c>
      <c r="M60" s="287" t="e">
        <f>'Solution  2, (hidden) (2)'!K51</f>
        <v>#N/A</v>
      </c>
    </row>
    <row r="61" spans="3:13" x14ac:dyDescent="0.25">
      <c r="C61" s="285" t="str">
        <f>'Solution 1, (hidden)'!B52</f>
        <v xml:space="preserve"> </v>
      </c>
      <c r="D61" s="285" t="str">
        <f>'Solution  2, (hidden)'!B52</f>
        <v xml:space="preserve"> </v>
      </c>
      <c r="E61" s="285" t="str">
        <f>IF('2. Inputs and results'!$C$21&gt;='2. Inputs and results'!$B$21,'Solution  2, (hidden)'!B52,'Solution 1, (hidden)'!B52)</f>
        <v xml:space="preserve"> </v>
      </c>
      <c r="F61" s="290" t="e">
        <f>'Solution 1, (hidden)'!L52</f>
        <v>#N/A</v>
      </c>
      <c r="G61" s="290" t="e">
        <f>'Solution  2, (hidden)'!L52</f>
        <v>#N/A</v>
      </c>
      <c r="H61" s="288" t="e">
        <f>'Solution 1, (hidden)'!D52</f>
        <v>#N/A</v>
      </c>
      <c r="I61" s="288" t="e">
        <f>'Solution  2, (hidden)'!D52</f>
        <v>#N/A</v>
      </c>
      <c r="J61" s="288" t="e">
        <f>'Solution 1, (hidden)'!K52</f>
        <v>#N/A</v>
      </c>
      <c r="K61" s="288" t="e">
        <f>'Solution  2, (hidden)'!K52</f>
        <v>#N/A</v>
      </c>
      <c r="L61" s="287" t="e">
        <f>'Solution 1, (hidden) (2)'!K52</f>
        <v>#N/A</v>
      </c>
      <c r="M61" s="287" t="e">
        <f>'Solution  2, (hidden) (2)'!K52</f>
        <v>#N/A</v>
      </c>
    </row>
    <row r="62" spans="3:13" x14ac:dyDescent="0.25">
      <c r="C62" s="285" t="str">
        <f>'Solution 1, (hidden)'!B53</f>
        <v xml:space="preserve"> </v>
      </c>
      <c r="D62" s="285" t="str">
        <f>'Solution  2, (hidden)'!B53</f>
        <v xml:space="preserve"> </v>
      </c>
      <c r="E62" s="285" t="str">
        <f>IF('2. Inputs and results'!$C$21&gt;='2. Inputs and results'!$B$21,'Solution  2, (hidden)'!B53,'Solution 1, (hidden)'!B53)</f>
        <v xml:space="preserve"> </v>
      </c>
      <c r="F62" s="290" t="e">
        <f>'Solution 1, (hidden)'!L53</f>
        <v>#N/A</v>
      </c>
      <c r="G62" s="290" t="e">
        <f>'Solution  2, (hidden)'!L53</f>
        <v>#N/A</v>
      </c>
      <c r="H62" s="288" t="e">
        <f>'Solution 1, (hidden)'!D53</f>
        <v>#N/A</v>
      </c>
      <c r="I62" s="288" t="e">
        <f>'Solution  2, (hidden)'!D53</f>
        <v>#N/A</v>
      </c>
      <c r="J62" s="288" t="e">
        <f>'Solution 1, (hidden)'!K53</f>
        <v>#N/A</v>
      </c>
      <c r="K62" s="288" t="e">
        <f>'Solution  2, (hidden)'!K53</f>
        <v>#N/A</v>
      </c>
      <c r="L62" s="287" t="e">
        <f>'Solution 1, (hidden) (2)'!K53</f>
        <v>#N/A</v>
      </c>
      <c r="M62" s="287" t="e">
        <f>'Solution  2, (hidden) (2)'!K53</f>
        <v>#N/A</v>
      </c>
    </row>
    <row r="63" spans="3:13" x14ac:dyDescent="0.25">
      <c r="C63" s="285" t="str">
        <f>'Solution 1, (hidden)'!B54</f>
        <v xml:space="preserve"> </v>
      </c>
      <c r="D63" s="285" t="str">
        <f>'Solution  2, (hidden)'!B54</f>
        <v xml:space="preserve"> </v>
      </c>
      <c r="E63" s="285" t="str">
        <f>IF('2. Inputs and results'!$C$21&gt;='2. Inputs and results'!$B$21,'Solution  2, (hidden)'!B54,'Solution 1, (hidden)'!B54)</f>
        <v xml:space="preserve"> </v>
      </c>
      <c r="F63" s="290" t="e">
        <f>'Solution 1, (hidden)'!L54</f>
        <v>#N/A</v>
      </c>
      <c r="G63" s="290" t="e">
        <f>'Solution  2, (hidden)'!L54</f>
        <v>#N/A</v>
      </c>
      <c r="H63" s="288" t="e">
        <f>'Solution 1, (hidden)'!D54</f>
        <v>#N/A</v>
      </c>
      <c r="I63" s="288" t="e">
        <f>'Solution  2, (hidden)'!D54</f>
        <v>#N/A</v>
      </c>
      <c r="J63" s="288" t="e">
        <f>'Solution 1, (hidden)'!K54</f>
        <v>#N/A</v>
      </c>
      <c r="K63" s="288" t="e">
        <f>'Solution  2, (hidden)'!K54</f>
        <v>#N/A</v>
      </c>
      <c r="L63" s="287" t="e">
        <f>'Solution 1, (hidden) (2)'!K54</f>
        <v>#N/A</v>
      </c>
      <c r="M63" s="287" t="e">
        <f>'Solution  2, (hidden) (2)'!K54</f>
        <v>#N/A</v>
      </c>
    </row>
    <row r="64" spans="3:13" x14ac:dyDescent="0.25">
      <c r="C64" s="285" t="str">
        <f>'Solution 1, (hidden)'!B55</f>
        <v xml:space="preserve"> </v>
      </c>
      <c r="D64" s="285" t="str">
        <f>'Solution  2, (hidden)'!B55</f>
        <v xml:space="preserve"> </v>
      </c>
      <c r="E64" s="285" t="str">
        <f>'Solution  2, (hidden)'!B55</f>
        <v xml:space="preserve"> </v>
      </c>
      <c r="F64" s="290" t="e">
        <f>'Solution 1, (hidden)'!L55</f>
        <v>#N/A</v>
      </c>
      <c r="G64" s="290" t="e">
        <f>'Solution  2, (hidden)'!L55</f>
        <v>#N/A</v>
      </c>
      <c r="H64" s="288" t="e">
        <f>'Solution 1, (hidden)'!D55</f>
        <v>#N/A</v>
      </c>
      <c r="I64" s="288" t="e">
        <f>'Solution  2, (hidden)'!D55</f>
        <v>#N/A</v>
      </c>
      <c r="J64" s="288" t="e">
        <f>'Solution 1, (hidden)'!K55</f>
        <v>#N/A</v>
      </c>
      <c r="K64" s="288" t="e">
        <f>'Solution  2, (hidden)'!K55</f>
        <v>#N/A</v>
      </c>
      <c r="L64" s="287" t="e">
        <f>'Solution 1, (hidden) (2)'!K55</f>
        <v>#N/A</v>
      </c>
      <c r="M64" s="287" t="e">
        <f>'Solution  2, (hidden) (2)'!K55</f>
        <v>#N/A</v>
      </c>
    </row>
    <row r="65" spans="6:11" x14ac:dyDescent="0.25">
      <c r="F65" s="30"/>
      <c r="G65" s="30"/>
      <c r="H65" s="30"/>
      <c r="I65" s="30"/>
      <c r="J65" s="30"/>
      <c r="K65" s="30"/>
    </row>
    <row r="66" spans="6:11" x14ac:dyDescent="0.25">
      <c r="F66" s="30"/>
      <c r="G66" s="30"/>
      <c r="H66" s="30"/>
      <c r="I66" s="30"/>
      <c r="J66" s="30"/>
      <c r="K66" s="30"/>
    </row>
    <row r="67" spans="6:11" x14ac:dyDescent="0.25">
      <c r="F67" s="30"/>
      <c r="G67" s="30"/>
      <c r="H67" s="30"/>
      <c r="I67" s="30"/>
      <c r="J67" s="30"/>
      <c r="K67" s="30"/>
    </row>
    <row r="68" spans="6:11" x14ac:dyDescent="0.25">
      <c r="F68" s="30"/>
      <c r="G68" s="30"/>
      <c r="H68" s="30"/>
      <c r="I68" s="30"/>
      <c r="J68" s="30"/>
      <c r="K68" s="30"/>
    </row>
    <row r="69" spans="6:11" x14ac:dyDescent="0.25">
      <c r="F69" s="30"/>
      <c r="G69" s="30"/>
      <c r="H69" s="30"/>
      <c r="I69" s="30"/>
      <c r="J69" s="30"/>
      <c r="K69" s="30"/>
    </row>
    <row r="70" spans="6:11" x14ac:dyDescent="0.25">
      <c r="F70" s="30"/>
      <c r="G70" s="30"/>
      <c r="H70" s="30"/>
      <c r="I70" s="30"/>
      <c r="J70" s="30"/>
      <c r="K70" s="30"/>
    </row>
    <row r="71" spans="6:11" x14ac:dyDescent="0.25">
      <c r="F71" s="30"/>
      <c r="G71" s="30"/>
      <c r="H71" s="30"/>
      <c r="I71" s="30"/>
      <c r="J71" s="30"/>
      <c r="K71" s="30"/>
    </row>
  </sheetData>
  <sheetProtection sheet="1" objects="1" scenarios="1"/>
  <conditionalFormatting sqref="F14:K64">
    <cfRule type="containsErrors" dxfId="27" priority="3">
      <formula>ISERROR(F14)</formula>
    </cfRule>
  </conditionalFormatting>
  <conditionalFormatting sqref="L12:M1048576 L2:M10">
    <cfRule type="containsErrors" dxfId="26" priority="2">
      <formula>ISERROR(L2)</formula>
    </cfRule>
  </conditionalFormatting>
  <conditionalFormatting sqref="F14:M64">
    <cfRule type="cellIs" dxfId="25" priority="1" operator="lessThan">
      <formula>0</formula>
    </cfRule>
  </conditionalFormatting>
  <pageMargins left="0.7" right="0.7" top="0.75" bottom="0.75" header="0.3" footer="0.3"/>
  <pageSetup paperSize="9" scale="3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ul12">
    <pageSetUpPr fitToPage="1"/>
  </sheetPr>
  <dimension ref="A1:G63"/>
  <sheetViews>
    <sheetView topLeftCell="A22" zoomScaleNormal="100" workbookViewId="0">
      <selection activeCell="G5" sqref="G5"/>
    </sheetView>
  </sheetViews>
  <sheetFormatPr defaultRowHeight="15" x14ac:dyDescent="0.25"/>
  <cols>
    <col min="1" max="1" width="36.7109375" customWidth="1"/>
    <col min="2" max="2" width="36.28515625" customWidth="1"/>
    <col min="3" max="3" width="11.7109375" customWidth="1"/>
    <col min="4" max="4" width="10.85546875" customWidth="1"/>
    <col min="5" max="5" width="7.42578125" customWidth="1"/>
    <col min="6" max="6" width="35.85546875" customWidth="1"/>
    <col min="7" max="7" width="28.7109375" customWidth="1"/>
  </cols>
  <sheetData>
    <row r="1" spans="1:7" s="39" customFormat="1" ht="80.25" customHeight="1" thickBot="1" x14ac:dyDescent="0.45">
      <c r="D1" s="306" t="s">
        <v>306</v>
      </c>
    </row>
    <row r="2" spans="1:7" s="39" customFormat="1" ht="15.75" thickBot="1" x14ac:dyDescent="0.3">
      <c r="A2" s="279" t="s">
        <v>150</v>
      </c>
      <c r="B2" s="61" t="str">
        <f>'2. Inputs and results'!B5</f>
        <v>Building</v>
      </c>
    </row>
    <row r="3" spans="1:7" s="39" customFormat="1" ht="15.75" thickBot="1" x14ac:dyDescent="0.3">
      <c r="A3" s="282"/>
      <c r="B3" s="284"/>
    </row>
    <row r="4" spans="1:7" s="39" customFormat="1" ht="13.5" customHeight="1" thickBot="1" x14ac:dyDescent="0.3">
      <c r="A4" s="282" t="s">
        <v>139</v>
      </c>
      <c r="B4" s="283" t="str">
        <f>'2. Inputs and results'!B6</f>
        <v>Housing/ Residential building</v>
      </c>
    </row>
    <row r="5" spans="1:7" s="39" customFormat="1" ht="15.75" thickBot="1" x14ac:dyDescent="0.3">
      <c r="A5" s="282"/>
      <c r="B5" s="284"/>
    </row>
    <row r="6" spans="1:7" s="39" customFormat="1" ht="15.75" thickBot="1" x14ac:dyDescent="0.3">
      <c r="A6" s="282" t="s">
        <v>54</v>
      </c>
      <c r="B6" s="283" t="str">
        <f>'2. Inputs and results'!B8</f>
        <v>District heating</v>
      </c>
    </row>
    <row r="7" spans="1:7" s="39" customFormat="1" ht="15.75" thickBot="1" x14ac:dyDescent="0.3">
      <c r="A7" s="282" t="s">
        <v>93</v>
      </c>
      <c r="B7" s="283" t="str">
        <f>'2. Inputs and results'!B9</f>
        <v>Other</v>
      </c>
    </row>
    <row r="8" spans="1:7" s="39" customFormat="1" ht="15.75" thickBot="1" x14ac:dyDescent="0.3">
      <c r="A8" s="281" t="s">
        <v>104</v>
      </c>
      <c r="B8" s="63" t="str">
        <f>'2. Inputs and results'!B10</f>
        <v>None</v>
      </c>
    </row>
    <row r="9" spans="1:7" s="39" customFormat="1" x14ac:dyDescent="0.25"/>
    <row r="10" spans="1:7" s="39" customFormat="1" x14ac:dyDescent="0.25"/>
    <row r="11" spans="1:7" x14ac:dyDescent="0.25">
      <c r="C11" s="285"/>
      <c r="D11" s="285"/>
      <c r="E11" s="285"/>
      <c r="F11" s="286" t="s">
        <v>126</v>
      </c>
      <c r="G11" s="286" t="s">
        <v>127</v>
      </c>
    </row>
    <row r="12" spans="1:7" x14ac:dyDescent="0.25">
      <c r="C12" s="286" t="s">
        <v>124</v>
      </c>
      <c r="D12" s="286" t="s">
        <v>125</v>
      </c>
      <c r="E12" s="286" t="str">
        <f>'6. Pay back time'!E12</f>
        <v>Year</v>
      </c>
      <c r="F12" s="286" t="str">
        <f>'2. Inputs and results'!B19</f>
        <v xml:space="preserve">Ventilation system with heat recovery </v>
      </c>
      <c r="G12" s="286" t="str">
        <f>'2. Inputs and results'!C19</f>
        <v>Geothermal heat pump system</v>
      </c>
    </row>
    <row r="13" spans="1:7" x14ac:dyDescent="0.25">
      <c r="C13" s="285">
        <f>'Solution 1, (hidden)'!B5</f>
        <v>0</v>
      </c>
      <c r="D13" s="285">
        <f>'Solution  2, (hidden)'!B5</f>
        <v>0</v>
      </c>
      <c r="E13" s="285">
        <f>IF('2. Inputs and results'!$C$21&gt;='2. Inputs and results'!$B$21,'Solution  2, (hidden)'!B5,'Solution 1, (hidden)'!B5)</f>
        <v>0</v>
      </c>
      <c r="F13" s="285">
        <f>'Solution 1, (hidden)'!AF5</f>
        <v>0</v>
      </c>
      <c r="G13" s="285">
        <f>'Solution  2, (hidden)'!AF5</f>
        <v>0</v>
      </c>
    </row>
    <row r="14" spans="1:7" x14ac:dyDescent="0.25">
      <c r="C14" s="285">
        <f>'Solution 1, (hidden)'!B6</f>
        <v>1</v>
      </c>
      <c r="D14" s="285">
        <f>'Solution  2, (hidden)'!B6</f>
        <v>1</v>
      </c>
      <c r="E14" s="285">
        <f>IF('2. Inputs and results'!$C$21&gt;='2. Inputs and results'!$B$21,'Solution  2, (hidden)'!B6,'Solution 1, (hidden)'!B6)</f>
        <v>1</v>
      </c>
      <c r="F14" s="291">
        <f>'Solution 1, (hidden)'!AF6</f>
        <v>-20.399999999999999</v>
      </c>
      <c r="G14" s="285">
        <f>'Solution  2, (hidden)'!AF6</f>
        <v>-46</v>
      </c>
    </row>
    <row r="15" spans="1:7" x14ac:dyDescent="0.25">
      <c r="C15" s="285">
        <f>'Solution 1, (hidden)'!B7</f>
        <v>2</v>
      </c>
      <c r="D15" s="285">
        <f>'Solution  2, (hidden)'!B7</f>
        <v>2</v>
      </c>
      <c r="E15" s="285">
        <f>IF('2. Inputs and results'!$C$21&gt;='2. Inputs and results'!$B$21,'Solution  2, (hidden)'!B7,'Solution 1, (hidden)'!B7)</f>
        <v>2</v>
      </c>
      <c r="F15" s="291">
        <f>'Solution 1, (hidden)'!AF7</f>
        <v>-40.799999999999997</v>
      </c>
      <c r="G15" s="285">
        <f>'Solution  2, (hidden)'!AF7</f>
        <v>-92</v>
      </c>
    </row>
    <row r="16" spans="1:7" x14ac:dyDescent="0.25">
      <c r="C16" s="285">
        <f>'Solution 1, (hidden)'!B8</f>
        <v>3</v>
      </c>
      <c r="D16" s="285">
        <f>'Solution  2, (hidden)'!B8</f>
        <v>3</v>
      </c>
      <c r="E16" s="285">
        <f>IF('2. Inputs and results'!$C$21&gt;='2. Inputs and results'!$B$21,'Solution  2, (hidden)'!B8,'Solution 1, (hidden)'!B8)</f>
        <v>3</v>
      </c>
      <c r="F16" s="291">
        <f>'Solution 1, (hidden)'!AF8</f>
        <v>-61.2</v>
      </c>
      <c r="G16" s="285">
        <f>'Solution  2, (hidden)'!AF8</f>
        <v>-138</v>
      </c>
    </row>
    <row r="17" spans="3:7" x14ac:dyDescent="0.25">
      <c r="C17" s="285">
        <f>'Solution 1, (hidden)'!B9</f>
        <v>4</v>
      </c>
      <c r="D17" s="285">
        <f>'Solution  2, (hidden)'!B9</f>
        <v>4</v>
      </c>
      <c r="E17" s="285">
        <f>IF('2. Inputs and results'!$C$21&gt;='2. Inputs and results'!$B$21,'Solution  2, (hidden)'!B9,'Solution 1, (hidden)'!B9)</f>
        <v>4</v>
      </c>
      <c r="F17" s="291">
        <f>'Solution 1, (hidden)'!AF9</f>
        <v>-81.599999999999994</v>
      </c>
      <c r="G17" s="285">
        <f>'Solution  2, (hidden)'!AF9</f>
        <v>-184</v>
      </c>
    </row>
    <row r="18" spans="3:7" x14ac:dyDescent="0.25">
      <c r="C18" s="285">
        <f>'Solution 1, (hidden)'!B10</f>
        <v>5</v>
      </c>
      <c r="D18" s="285">
        <f>'Solution  2, (hidden)'!B10</f>
        <v>5</v>
      </c>
      <c r="E18" s="285">
        <f>IF('2. Inputs and results'!$C$21&gt;='2. Inputs and results'!$B$21,'Solution  2, (hidden)'!B10,'Solution 1, (hidden)'!B10)</f>
        <v>5</v>
      </c>
      <c r="F18" s="291">
        <f>'Solution 1, (hidden)'!AF10</f>
        <v>-102</v>
      </c>
      <c r="G18" s="285">
        <f>'Solution  2, (hidden)'!AF10</f>
        <v>-230</v>
      </c>
    </row>
    <row r="19" spans="3:7" x14ac:dyDescent="0.25">
      <c r="C19" s="285">
        <f>'Solution 1, (hidden)'!B11</f>
        <v>6</v>
      </c>
      <c r="D19" s="285">
        <f>'Solution  2, (hidden)'!B11</f>
        <v>6</v>
      </c>
      <c r="E19" s="285">
        <f>IF('2. Inputs and results'!$C$21&gt;='2. Inputs and results'!$B$21,'Solution  2, (hidden)'!B11,'Solution 1, (hidden)'!B11)</f>
        <v>6</v>
      </c>
      <c r="F19" s="291">
        <f>'Solution 1, (hidden)'!AF11</f>
        <v>-122.4</v>
      </c>
      <c r="G19" s="285">
        <f>'Solution  2, (hidden)'!AF11</f>
        <v>-276</v>
      </c>
    </row>
    <row r="20" spans="3:7" x14ac:dyDescent="0.25">
      <c r="C20" s="285">
        <f>'Solution 1, (hidden)'!B12</f>
        <v>7</v>
      </c>
      <c r="D20" s="285">
        <f>'Solution  2, (hidden)'!B12</f>
        <v>7</v>
      </c>
      <c r="E20" s="285">
        <f>IF('2. Inputs and results'!$C$21&gt;='2. Inputs and results'!$B$21,'Solution  2, (hidden)'!B12,'Solution 1, (hidden)'!B12)</f>
        <v>7</v>
      </c>
      <c r="F20" s="291">
        <f>'Solution 1, (hidden)'!AF12</f>
        <v>-142.80000000000001</v>
      </c>
      <c r="G20" s="285">
        <f>'Solution  2, (hidden)'!AF12</f>
        <v>-322</v>
      </c>
    </row>
    <row r="21" spans="3:7" x14ac:dyDescent="0.25">
      <c r="C21" s="285">
        <f>'Solution 1, (hidden)'!B13</f>
        <v>8</v>
      </c>
      <c r="D21" s="285">
        <f>'Solution  2, (hidden)'!B13</f>
        <v>8</v>
      </c>
      <c r="E21" s="285">
        <f>IF('2. Inputs and results'!$C$21&gt;='2. Inputs and results'!$B$21,'Solution  2, (hidden)'!B13,'Solution 1, (hidden)'!B13)</f>
        <v>8</v>
      </c>
      <c r="F21" s="291">
        <f>'Solution 1, (hidden)'!AF13</f>
        <v>-163.19999999999999</v>
      </c>
      <c r="G21" s="285">
        <f>'Solution  2, (hidden)'!AF13</f>
        <v>-368</v>
      </c>
    </row>
    <row r="22" spans="3:7" x14ac:dyDescent="0.25">
      <c r="C22" s="285">
        <f>'Solution 1, (hidden)'!B14</f>
        <v>9</v>
      </c>
      <c r="D22" s="285">
        <f>'Solution  2, (hidden)'!B14</f>
        <v>9</v>
      </c>
      <c r="E22" s="285">
        <f>IF('2. Inputs and results'!$C$21&gt;='2. Inputs and results'!$B$21,'Solution  2, (hidden)'!B14,'Solution 1, (hidden)'!B14)</f>
        <v>9</v>
      </c>
      <c r="F22" s="291">
        <f>'Solution 1, (hidden)'!AF14</f>
        <v>-183.6</v>
      </c>
      <c r="G22" s="285">
        <f>'Solution  2, (hidden)'!AF14</f>
        <v>-414</v>
      </c>
    </row>
    <row r="23" spans="3:7" x14ac:dyDescent="0.25">
      <c r="C23" s="285">
        <f>'Solution 1, (hidden)'!B15</f>
        <v>10</v>
      </c>
      <c r="D23" s="285">
        <f>'Solution  2, (hidden)'!B15</f>
        <v>10</v>
      </c>
      <c r="E23" s="285">
        <f>IF('2. Inputs and results'!$C$21&gt;='2. Inputs and results'!$B$21,'Solution  2, (hidden)'!B15,'Solution 1, (hidden)'!B15)</f>
        <v>10</v>
      </c>
      <c r="F23" s="291">
        <f>'Solution 1, (hidden)'!AF15</f>
        <v>-204</v>
      </c>
      <c r="G23" s="285">
        <f>'Solution  2, (hidden)'!AF15</f>
        <v>-460</v>
      </c>
    </row>
    <row r="24" spans="3:7" x14ac:dyDescent="0.25">
      <c r="C24" s="285">
        <f>'Solution 1, (hidden)'!B16</f>
        <v>11</v>
      </c>
      <c r="D24" s="285">
        <f>'Solution  2, (hidden)'!B16</f>
        <v>11</v>
      </c>
      <c r="E24" s="285">
        <f>IF('2. Inputs and results'!$C$21&gt;='2. Inputs and results'!$B$21,'Solution  2, (hidden)'!B16,'Solution 1, (hidden)'!B16)</f>
        <v>11</v>
      </c>
      <c r="F24" s="291">
        <f>'Solution 1, (hidden)'!AF16</f>
        <v>-224.4</v>
      </c>
      <c r="G24" s="285">
        <f>'Solution  2, (hidden)'!AF16</f>
        <v>-506</v>
      </c>
    </row>
    <row r="25" spans="3:7" x14ac:dyDescent="0.25">
      <c r="C25" s="285">
        <f>'Solution 1, (hidden)'!B17</f>
        <v>12</v>
      </c>
      <c r="D25" s="285">
        <f>'Solution  2, (hidden)'!B17</f>
        <v>12</v>
      </c>
      <c r="E25" s="285">
        <f>IF('2. Inputs and results'!$C$21&gt;='2. Inputs and results'!$B$21,'Solution  2, (hidden)'!B17,'Solution 1, (hidden)'!B17)</f>
        <v>12</v>
      </c>
      <c r="F25" s="291">
        <f>'Solution 1, (hidden)'!AF17</f>
        <v>-244.8</v>
      </c>
      <c r="G25" s="285">
        <f>'Solution  2, (hidden)'!AF17</f>
        <v>-552</v>
      </c>
    </row>
    <row r="26" spans="3:7" x14ac:dyDescent="0.25">
      <c r="C26" s="285">
        <f>'Solution 1, (hidden)'!B18</f>
        <v>13</v>
      </c>
      <c r="D26" s="285">
        <f>'Solution  2, (hidden)'!B18</f>
        <v>13</v>
      </c>
      <c r="E26" s="285">
        <f>IF('2. Inputs and results'!$C$21&gt;='2. Inputs and results'!$B$21,'Solution  2, (hidden)'!B18,'Solution 1, (hidden)'!B18)</f>
        <v>13</v>
      </c>
      <c r="F26" s="291">
        <f>'Solution 1, (hidden)'!AF18</f>
        <v>-265.2</v>
      </c>
      <c r="G26" s="285">
        <f>'Solution  2, (hidden)'!AF18</f>
        <v>-598</v>
      </c>
    </row>
    <row r="27" spans="3:7" x14ac:dyDescent="0.25">
      <c r="C27" s="285">
        <f>'Solution 1, (hidden)'!B19</f>
        <v>14</v>
      </c>
      <c r="D27" s="285">
        <f>'Solution  2, (hidden)'!B19</f>
        <v>14</v>
      </c>
      <c r="E27" s="285">
        <f>IF('2. Inputs and results'!$C$21&gt;='2. Inputs and results'!$B$21,'Solution  2, (hidden)'!B19,'Solution 1, (hidden)'!B19)</f>
        <v>14</v>
      </c>
      <c r="F27" s="291">
        <f>'Solution 1, (hidden)'!AF19</f>
        <v>-285.60000000000002</v>
      </c>
      <c r="G27" s="285">
        <f>'Solution  2, (hidden)'!AF19</f>
        <v>-644</v>
      </c>
    </row>
    <row r="28" spans="3:7" x14ac:dyDescent="0.25">
      <c r="C28" s="285">
        <f>'Solution 1, (hidden)'!B20</f>
        <v>15</v>
      </c>
      <c r="D28" s="285">
        <f>'Solution  2, (hidden)'!B20</f>
        <v>15</v>
      </c>
      <c r="E28" s="285">
        <f>IF('2. Inputs and results'!$C$21&gt;='2. Inputs and results'!$B$21,'Solution  2, (hidden)'!B20,'Solution 1, (hidden)'!B20)</f>
        <v>15</v>
      </c>
      <c r="F28" s="291">
        <f>'Solution 1, (hidden)'!AF20</f>
        <v>-306</v>
      </c>
      <c r="G28" s="285">
        <f>'Solution  2, (hidden)'!AF20</f>
        <v>-690</v>
      </c>
    </row>
    <row r="29" spans="3:7" x14ac:dyDescent="0.25">
      <c r="C29" s="285">
        <f>'Solution 1, (hidden)'!B21</f>
        <v>16</v>
      </c>
      <c r="D29" s="285">
        <f>'Solution  2, (hidden)'!B21</f>
        <v>16</v>
      </c>
      <c r="E29" s="285">
        <f>IF('2. Inputs and results'!$C$21&gt;='2. Inputs and results'!$B$21,'Solution  2, (hidden)'!B21,'Solution 1, (hidden)'!B21)</f>
        <v>16</v>
      </c>
      <c r="F29" s="291">
        <f>'Solution 1, (hidden)'!AF21</f>
        <v>-326.39999999999998</v>
      </c>
      <c r="G29" s="285">
        <f>'Solution  2, (hidden)'!AF21</f>
        <v>-736</v>
      </c>
    </row>
    <row r="30" spans="3:7" x14ac:dyDescent="0.25">
      <c r="C30" s="285">
        <f>'Solution 1, (hidden)'!B22</f>
        <v>17</v>
      </c>
      <c r="D30" s="285">
        <f>'Solution  2, (hidden)'!B22</f>
        <v>17</v>
      </c>
      <c r="E30" s="285">
        <f>IF('2. Inputs and results'!$C$21&gt;='2. Inputs and results'!$B$21,'Solution  2, (hidden)'!B22,'Solution 1, (hidden)'!B22)</f>
        <v>17</v>
      </c>
      <c r="F30" s="291">
        <f>'Solution 1, (hidden)'!AF22</f>
        <v>-346.8</v>
      </c>
      <c r="G30" s="285">
        <f>'Solution  2, (hidden)'!AF22</f>
        <v>-782</v>
      </c>
    </row>
    <row r="31" spans="3:7" x14ac:dyDescent="0.25">
      <c r="C31" s="285">
        <f>'Solution 1, (hidden)'!B23</f>
        <v>18</v>
      </c>
      <c r="D31" s="285">
        <f>'Solution  2, (hidden)'!B23</f>
        <v>18</v>
      </c>
      <c r="E31" s="285">
        <f>IF('2. Inputs and results'!$C$21&gt;='2. Inputs and results'!$B$21,'Solution  2, (hidden)'!B23,'Solution 1, (hidden)'!B23)</f>
        <v>18</v>
      </c>
      <c r="F31" s="291">
        <f>'Solution 1, (hidden)'!AF23</f>
        <v>-367.2</v>
      </c>
      <c r="G31" s="285">
        <f>'Solution  2, (hidden)'!AF23</f>
        <v>-828</v>
      </c>
    </row>
    <row r="32" spans="3:7" x14ac:dyDescent="0.25">
      <c r="C32" s="285">
        <f>'Solution 1, (hidden)'!B24</f>
        <v>19</v>
      </c>
      <c r="D32" s="285">
        <f>'Solution  2, (hidden)'!B24</f>
        <v>19</v>
      </c>
      <c r="E32" s="285">
        <f>IF('2. Inputs and results'!$C$21&gt;='2. Inputs and results'!$B$21,'Solution  2, (hidden)'!B24,'Solution 1, (hidden)'!B24)</f>
        <v>19</v>
      </c>
      <c r="F32" s="291">
        <f>'Solution 1, (hidden)'!AF24</f>
        <v>-387.6</v>
      </c>
      <c r="G32" s="285">
        <f>'Solution  2, (hidden)'!AF24</f>
        <v>-874</v>
      </c>
    </row>
    <row r="33" spans="3:7" x14ac:dyDescent="0.25">
      <c r="C33" s="285">
        <f>'Solution 1, (hidden)'!B25</f>
        <v>20</v>
      </c>
      <c r="D33" s="285">
        <f>'Solution  2, (hidden)'!B25</f>
        <v>20</v>
      </c>
      <c r="E33" s="285">
        <f>IF('2. Inputs and results'!$C$21&gt;='2. Inputs and results'!$B$21,'Solution  2, (hidden)'!B25,'Solution 1, (hidden)'!B25)</f>
        <v>20</v>
      </c>
      <c r="F33" s="291">
        <f>'Solution 1, (hidden)'!AF25</f>
        <v>-408</v>
      </c>
      <c r="G33" s="285">
        <f>'Solution  2, (hidden)'!AF25</f>
        <v>-920</v>
      </c>
    </row>
    <row r="34" spans="3:7" x14ac:dyDescent="0.25">
      <c r="C34" s="285" t="str">
        <f>'Solution 1, (hidden)'!B26</f>
        <v xml:space="preserve"> </v>
      </c>
      <c r="D34" s="285" t="str">
        <f>'Solution  2, (hidden)'!B26</f>
        <v xml:space="preserve"> </v>
      </c>
      <c r="E34" s="285" t="str">
        <f>IF('2. Inputs and results'!$C$21&gt;='2. Inputs and results'!$B$21,'Solution  2, (hidden)'!B26,'Solution 1, (hidden)'!B26)</f>
        <v xml:space="preserve"> </v>
      </c>
      <c r="F34" s="291" t="e">
        <f>'Solution 1, (hidden)'!AF26</f>
        <v>#N/A</v>
      </c>
      <c r="G34" s="285" t="e">
        <f>'Solution  2, (hidden)'!AF26</f>
        <v>#N/A</v>
      </c>
    </row>
    <row r="35" spans="3:7" x14ac:dyDescent="0.25">
      <c r="C35" s="285" t="str">
        <f>'Solution 1, (hidden)'!B27</f>
        <v xml:space="preserve"> </v>
      </c>
      <c r="D35" s="285" t="str">
        <f>'Solution  2, (hidden)'!B27</f>
        <v xml:space="preserve"> </v>
      </c>
      <c r="E35" s="285" t="str">
        <f>IF('2. Inputs and results'!$C$21&gt;='2. Inputs and results'!$B$21,'Solution  2, (hidden)'!B27,'Solution 1, (hidden)'!B27)</f>
        <v xml:space="preserve"> </v>
      </c>
      <c r="F35" s="291" t="e">
        <f>'Solution 1, (hidden)'!AF27</f>
        <v>#N/A</v>
      </c>
      <c r="G35" s="285" t="e">
        <f>'Solution  2, (hidden)'!AF27</f>
        <v>#N/A</v>
      </c>
    </row>
    <row r="36" spans="3:7" x14ac:dyDescent="0.25">
      <c r="C36" s="285" t="str">
        <f>'Solution 1, (hidden)'!B28</f>
        <v xml:space="preserve"> </v>
      </c>
      <c r="D36" s="285" t="str">
        <f>'Solution  2, (hidden)'!B28</f>
        <v xml:space="preserve"> </v>
      </c>
      <c r="E36" s="285" t="str">
        <f>IF('2. Inputs and results'!$C$21&gt;='2. Inputs and results'!$B$21,'Solution  2, (hidden)'!B28,'Solution 1, (hidden)'!B28)</f>
        <v xml:space="preserve"> </v>
      </c>
      <c r="F36" s="291" t="e">
        <f>'Solution 1, (hidden)'!AF28</f>
        <v>#N/A</v>
      </c>
      <c r="G36" s="285" t="e">
        <f>'Solution  2, (hidden)'!AF28</f>
        <v>#N/A</v>
      </c>
    </row>
    <row r="37" spans="3:7" x14ac:dyDescent="0.25">
      <c r="C37" s="285" t="str">
        <f>'Solution 1, (hidden)'!B29</f>
        <v xml:space="preserve"> </v>
      </c>
      <c r="D37" s="285" t="str">
        <f>'Solution  2, (hidden)'!B29</f>
        <v xml:space="preserve"> </v>
      </c>
      <c r="E37" s="285" t="str">
        <f>IF('2. Inputs and results'!$C$21&gt;='2. Inputs and results'!$B$21,'Solution  2, (hidden)'!B29,'Solution 1, (hidden)'!B29)</f>
        <v xml:space="preserve"> </v>
      </c>
      <c r="F37" s="291" t="e">
        <f>'Solution 1, (hidden)'!AF29</f>
        <v>#N/A</v>
      </c>
      <c r="G37" s="285" t="e">
        <f>'Solution  2, (hidden)'!AF29</f>
        <v>#N/A</v>
      </c>
    </row>
    <row r="38" spans="3:7" x14ac:dyDescent="0.25">
      <c r="C38" s="285" t="str">
        <f>'Solution 1, (hidden)'!B30</f>
        <v xml:space="preserve"> </v>
      </c>
      <c r="D38" s="285" t="str">
        <f>'Solution  2, (hidden)'!B30</f>
        <v xml:space="preserve"> </v>
      </c>
      <c r="E38" s="285" t="str">
        <f>IF('2. Inputs and results'!$C$21&gt;='2. Inputs and results'!$B$21,'Solution  2, (hidden)'!B30,'Solution 1, (hidden)'!B30)</f>
        <v xml:space="preserve"> </v>
      </c>
      <c r="F38" s="291" t="e">
        <f>'Solution 1, (hidden)'!AF30</f>
        <v>#N/A</v>
      </c>
      <c r="G38" s="285" t="e">
        <f>'Solution  2, (hidden)'!AF30</f>
        <v>#N/A</v>
      </c>
    </row>
    <row r="39" spans="3:7" x14ac:dyDescent="0.25">
      <c r="C39" s="285" t="str">
        <f>'Solution 1, (hidden)'!B31</f>
        <v xml:space="preserve"> </v>
      </c>
      <c r="D39" s="285" t="str">
        <f>'Solution  2, (hidden)'!B31</f>
        <v xml:space="preserve"> </v>
      </c>
      <c r="E39" s="285" t="str">
        <f>IF('2. Inputs and results'!$C$21&gt;='2. Inputs and results'!$B$21,'Solution  2, (hidden)'!B31,'Solution 1, (hidden)'!B31)</f>
        <v xml:space="preserve"> </v>
      </c>
      <c r="F39" s="291" t="e">
        <f>'Solution 1, (hidden)'!AF31</f>
        <v>#N/A</v>
      </c>
      <c r="G39" s="285" t="e">
        <f>'Solution  2, (hidden)'!AF31</f>
        <v>#N/A</v>
      </c>
    </row>
    <row r="40" spans="3:7" x14ac:dyDescent="0.25">
      <c r="C40" s="285" t="str">
        <f>'Solution 1, (hidden)'!B32</f>
        <v xml:space="preserve"> </v>
      </c>
      <c r="D40" s="285" t="str">
        <f>'Solution  2, (hidden)'!B32</f>
        <v xml:space="preserve"> </v>
      </c>
      <c r="E40" s="285" t="str">
        <f>IF('2. Inputs and results'!$C$21&gt;='2. Inputs and results'!$B$21,'Solution  2, (hidden)'!B32,'Solution 1, (hidden)'!B32)</f>
        <v xml:space="preserve"> </v>
      </c>
      <c r="F40" s="291" t="e">
        <f>'Solution 1, (hidden)'!AF32</f>
        <v>#N/A</v>
      </c>
      <c r="G40" s="285" t="e">
        <f>'Solution  2, (hidden)'!AF32</f>
        <v>#N/A</v>
      </c>
    </row>
    <row r="41" spans="3:7" x14ac:dyDescent="0.25">
      <c r="C41" s="285" t="str">
        <f>'Solution 1, (hidden)'!B33</f>
        <v xml:space="preserve"> </v>
      </c>
      <c r="D41" s="285" t="str">
        <f>'Solution  2, (hidden)'!B33</f>
        <v xml:space="preserve"> </v>
      </c>
      <c r="E41" s="285" t="str">
        <f>IF('2. Inputs and results'!$C$21&gt;='2. Inputs and results'!$B$21,'Solution  2, (hidden)'!B33,'Solution 1, (hidden)'!B33)</f>
        <v xml:space="preserve"> </v>
      </c>
      <c r="F41" s="291" t="e">
        <f>'Solution 1, (hidden)'!AF33</f>
        <v>#N/A</v>
      </c>
      <c r="G41" s="285" t="e">
        <f>'Solution  2, (hidden)'!AF33</f>
        <v>#N/A</v>
      </c>
    </row>
    <row r="42" spans="3:7" x14ac:dyDescent="0.25">
      <c r="C42" s="285" t="str">
        <f>'Solution 1, (hidden)'!B34</f>
        <v xml:space="preserve"> </v>
      </c>
      <c r="D42" s="285" t="str">
        <f>'Solution  2, (hidden)'!B34</f>
        <v xml:space="preserve"> </v>
      </c>
      <c r="E42" s="285" t="str">
        <f>IF('2. Inputs and results'!$C$21&gt;='2. Inputs and results'!$B$21,'Solution  2, (hidden)'!B34,'Solution 1, (hidden)'!B34)</f>
        <v xml:space="preserve"> </v>
      </c>
      <c r="F42" s="291" t="e">
        <f>'Solution 1, (hidden)'!AF34</f>
        <v>#N/A</v>
      </c>
      <c r="G42" s="285" t="e">
        <f>'Solution  2, (hidden)'!AF34</f>
        <v>#N/A</v>
      </c>
    </row>
    <row r="43" spans="3:7" x14ac:dyDescent="0.25">
      <c r="C43" s="285" t="str">
        <f>'Solution 1, (hidden)'!B35</f>
        <v xml:space="preserve"> </v>
      </c>
      <c r="D43" s="285" t="str">
        <f>'Solution  2, (hidden)'!B35</f>
        <v xml:space="preserve"> </v>
      </c>
      <c r="E43" s="285" t="str">
        <f>IF('2. Inputs and results'!$C$21&gt;='2. Inputs and results'!$B$21,'Solution  2, (hidden)'!B35,'Solution 1, (hidden)'!B35)</f>
        <v xml:space="preserve"> </v>
      </c>
      <c r="F43" s="291" t="e">
        <f>'Solution 1, (hidden)'!AF35</f>
        <v>#N/A</v>
      </c>
      <c r="G43" s="285" t="e">
        <f>'Solution  2, (hidden)'!AF35</f>
        <v>#N/A</v>
      </c>
    </row>
    <row r="44" spans="3:7" x14ac:dyDescent="0.25">
      <c r="C44" s="285" t="str">
        <f>'Solution 1, (hidden)'!B36</f>
        <v xml:space="preserve"> </v>
      </c>
      <c r="D44" s="285" t="str">
        <f>'Solution  2, (hidden)'!B36</f>
        <v xml:space="preserve"> </v>
      </c>
      <c r="E44" s="285" t="str">
        <f>IF('2. Inputs and results'!$C$21&gt;='2. Inputs and results'!$B$21,'Solution  2, (hidden)'!B36,'Solution 1, (hidden)'!B36)</f>
        <v xml:space="preserve"> </v>
      </c>
      <c r="F44" s="285" t="e">
        <f>'Solution 1, (hidden)'!AF36</f>
        <v>#N/A</v>
      </c>
      <c r="G44" s="285" t="e">
        <f>'Solution  2, (hidden)'!AF36</f>
        <v>#N/A</v>
      </c>
    </row>
    <row r="45" spans="3:7" x14ac:dyDescent="0.25">
      <c r="C45" s="285" t="str">
        <f>'Solution 1, (hidden)'!B37</f>
        <v xml:space="preserve"> </v>
      </c>
      <c r="D45" s="285" t="str">
        <f>'Solution  2, (hidden)'!B37</f>
        <v xml:space="preserve"> </v>
      </c>
      <c r="E45" s="285" t="str">
        <f>IF('2. Inputs and results'!$C$21&gt;='2. Inputs and results'!$B$21,'Solution  2, (hidden)'!B37,'Solution 1, (hidden)'!B37)</f>
        <v xml:space="preserve"> </v>
      </c>
      <c r="F45" s="285" t="e">
        <f>'Solution 1, (hidden)'!AF37</f>
        <v>#N/A</v>
      </c>
      <c r="G45" s="285" t="e">
        <f>'Solution  2, (hidden)'!AF37</f>
        <v>#N/A</v>
      </c>
    </row>
    <row r="46" spans="3:7" x14ac:dyDescent="0.25">
      <c r="C46" s="285" t="str">
        <f>'Solution 1, (hidden)'!B38</f>
        <v xml:space="preserve"> </v>
      </c>
      <c r="D46" s="285" t="str">
        <f>'Solution  2, (hidden)'!B38</f>
        <v xml:space="preserve"> </v>
      </c>
      <c r="E46" s="285" t="str">
        <f>IF('2. Inputs and results'!$C$21&gt;='2. Inputs and results'!$B$21,'Solution  2, (hidden)'!B38,'Solution 1, (hidden)'!B38)</f>
        <v xml:space="preserve"> </v>
      </c>
      <c r="F46" s="285" t="e">
        <f>'Solution 1, (hidden)'!AF38</f>
        <v>#N/A</v>
      </c>
      <c r="G46" s="285" t="e">
        <f>'Solution  2, (hidden)'!AF38</f>
        <v>#N/A</v>
      </c>
    </row>
    <row r="47" spans="3:7" x14ac:dyDescent="0.25">
      <c r="C47" s="285" t="str">
        <f>'Solution 1, (hidden)'!B39</f>
        <v xml:space="preserve"> </v>
      </c>
      <c r="D47" s="285" t="str">
        <f>'Solution  2, (hidden)'!B39</f>
        <v xml:space="preserve"> </v>
      </c>
      <c r="E47" s="285" t="str">
        <f>IF('2. Inputs and results'!$C$21&gt;='2. Inputs and results'!$B$21,'Solution  2, (hidden)'!B39,'Solution 1, (hidden)'!B39)</f>
        <v xml:space="preserve"> </v>
      </c>
      <c r="F47" s="285" t="e">
        <f>'Solution 1, (hidden)'!AF39</f>
        <v>#N/A</v>
      </c>
      <c r="G47" s="285" t="e">
        <f>'Solution  2, (hidden)'!AF39</f>
        <v>#N/A</v>
      </c>
    </row>
    <row r="48" spans="3:7" x14ac:dyDescent="0.25">
      <c r="C48" s="285" t="str">
        <f>'Solution 1, (hidden)'!B40</f>
        <v xml:space="preserve"> </v>
      </c>
      <c r="D48" s="285" t="str">
        <f>'Solution  2, (hidden)'!B40</f>
        <v xml:space="preserve"> </v>
      </c>
      <c r="E48" s="285" t="str">
        <f>IF('2. Inputs and results'!$C$21&gt;='2. Inputs and results'!$B$21,'Solution  2, (hidden)'!B40,'Solution 1, (hidden)'!B40)</f>
        <v xml:space="preserve"> </v>
      </c>
      <c r="F48" s="285" t="e">
        <f>'Solution 1, (hidden)'!AF40</f>
        <v>#N/A</v>
      </c>
      <c r="G48" s="285" t="e">
        <f>'Solution  2, (hidden)'!AF40</f>
        <v>#N/A</v>
      </c>
    </row>
    <row r="49" spans="3:7" x14ac:dyDescent="0.25">
      <c r="C49" s="285" t="str">
        <f>'Solution 1, (hidden)'!B41</f>
        <v xml:space="preserve"> </v>
      </c>
      <c r="D49" s="285" t="str">
        <f>'Solution  2, (hidden)'!B41</f>
        <v xml:space="preserve"> </v>
      </c>
      <c r="E49" s="285" t="str">
        <f>IF('2. Inputs and results'!$C$21&gt;='2. Inputs and results'!$B$21,'Solution  2, (hidden)'!B41,'Solution 1, (hidden)'!B41)</f>
        <v xml:space="preserve"> </v>
      </c>
      <c r="F49" s="285" t="e">
        <f>'Solution 1, (hidden)'!AF41</f>
        <v>#N/A</v>
      </c>
      <c r="G49" s="285" t="e">
        <f>'Solution  2, (hidden)'!AF41</f>
        <v>#N/A</v>
      </c>
    </row>
    <row r="50" spans="3:7" x14ac:dyDescent="0.25">
      <c r="C50" s="285" t="str">
        <f>'Solution 1, (hidden)'!B42</f>
        <v xml:space="preserve"> </v>
      </c>
      <c r="D50" s="285" t="str">
        <f>'Solution  2, (hidden)'!B42</f>
        <v xml:space="preserve"> </v>
      </c>
      <c r="E50" s="285" t="str">
        <f>IF('2. Inputs and results'!$C$21&gt;='2. Inputs and results'!$B$21,'Solution  2, (hidden)'!B42,'Solution 1, (hidden)'!B42)</f>
        <v xml:space="preserve"> </v>
      </c>
      <c r="F50" s="285" t="e">
        <f>'Solution 1, (hidden)'!AF42</f>
        <v>#N/A</v>
      </c>
      <c r="G50" s="285" t="e">
        <f>'Solution  2, (hidden)'!AF42</f>
        <v>#N/A</v>
      </c>
    </row>
    <row r="51" spans="3:7" x14ac:dyDescent="0.25">
      <c r="C51" s="285" t="str">
        <f>'Solution 1, (hidden)'!B43</f>
        <v xml:space="preserve"> </v>
      </c>
      <c r="D51" s="285" t="str">
        <f>'Solution  2, (hidden)'!B43</f>
        <v xml:space="preserve"> </v>
      </c>
      <c r="E51" s="285" t="str">
        <f>IF('2. Inputs and results'!$C$21&gt;='2. Inputs and results'!$B$21,'Solution  2, (hidden)'!B43,'Solution 1, (hidden)'!B43)</f>
        <v xml:space="preserve"> </v>
      </c>
      <c r="F51" s="285" t="e">
        <f>'Solution 1, (hidden)'!AF43</f>
        <v>#N/A</v>
      </c>
      <c r="G51" s="285" t="e">
        <f>'Solution  2, (hidden)'!AF43</f>
        <v>#N/A</v>
      </c>
    </row>
    <row r="52" spans="3:7" x14ac:dyDescent="0.25">
      <c r="C52" s="285" t="str">
        <f>'Solution 1, (hidden)'!B44</f>
        <v xml:space="preserve"> </v>
      </c>
      <c r="D52" s="285" t="str">
        <f>'Solution  2, (hidden)'!B44</f>
        <v xml:space="preserve"> </v>
      </c>
      <c r="E52" s="285" t="str">
        <f>IF('2. Inputs and results'!$C$21&gt;='2. Inputs and results'!$B$21,'Solution  2, (hidden)'!B44,'Solution 1, (hidden)'!B44)</f>
        <v xml:space="preserve"> </v>
      </c>
      <c r="F52" s="285" t="e">
        <f>'Solution 1, (hidden)'!AF44</f>
        <v>#N/A</v>
      </c>
      <c r="G52" s="285" t="e">
        <f>'Solution  2, (hidden)'!AF44</f>
        <v>#N/A</v>
      </c>
    </row>
    <row r="53" spans="3:7" x14ac:dyDescent="0.25">
      <c r="C53" s="285" t="str">
        <f>'Solution 1, (hidden)'!B45</f>
        <v xml:space="preserve"> </v>
      </c>
      <c r="D53" s="285" t="str">
        <f>'Solution  2, (hidden)'!B45</f>
        <v xml:space="preserve"> </v>
      </c>
      <c r="E53" s="285" t="str">
        <f>IF('2. Inputs and results'!$C$21&gt;='2. Inputs and results'!$B$21,'Solution  2, (hidden)'!B45,'Solution 1, (hidden)'!B45)</f>
        <v xml:space="preserve"> </v>
      </c>
      <c r="F53" s="285" t="e">
        <f>'Solution 1, (hidden)'!AF45</f>
        <v>#N/A</v>
      </c>
      <c r="G53" s="285" t="e">
        <f>'Solution  2, (hidden)'!AF45</f>
        <v>#N/A</v>
      </c>
    </row>
    <row r="54" spans="3:7" x14ac:dyDescent="0.25">
      <c r="C54" s="285" t="str">
        <f>'Solution 1, (hidden)'!B46</f>
        <v xml:space="preserve"> </v>
      </c>
      <c r="D54" s="285" t="str">
        <f>'Solution  2, (hidden)'!B46</f>
        <v xml:space="preserve"> </v>
      </c>
      <c r="E54" s="285" t="str">
        <f>IF('2. Inputs and results'!$C$21&gt;='2. Inputs and results'!$B$21,'Solution  2, (hidden)'!B46,'Solution 1, (hidden)'!B46)</f>
        <v xml:space="preserve"> </v>
      </c>
      <c r="F54" s="285" t="e">
        <f>'Solution 1, (hidden)'!AF46</f>
        <v>#N/A</v>
      </c>
      <c r="G54" s="285" t="e">
        <f>'Solution  2, (hidden)'!AF46</f>
        <v>#N/A</v>
      </c>
    </row>
    <row r="55" spans="3:7" x14ac:dyDescent="0.25">
      <c r="C55" s="285" t="str">
        <f>'Solution 1, (hidden)'!B47</f>
        <v xml:space="preserve"> </v>
      </c>
      <c r="D55" s="285" t="str">
        <f>'Solution  2, (hidden)'!B47</f>
        <v xml:space="preserve"> </v>
      </c>
      <c r="E55" s="285" t="str">
        <f>IF('2. Inputs and results'!$C$21&gt;='2. Inputs and results'!$B$21,'Solution  2, (hidden)'!B47,'Solution 1, (hidden)'!B47)</f>
        <v xml:space="preserve"> </v>
      </c>
      <c r="F55" s="285" t="e">
        <f>'Solution 1, (hidden)'!AF47</f>
        <v>#N/A</v>
      </c>
      <c r="G55" s="285" t="e">
        <f>'Solution  2, (hidden)'!AF47</f>
        <v>#N/A</v>
      </c>
    </row>
    <row r="56" spans="3:7" x14ac:dyDescent="0.25">
      <c r="C56" s="285" t="str">
        <f>'Solution 1, (hidden)'!B48</f>
        <v xml:space="preserve"> </v>
      </c>
      <c r="D56" s="285" t="str">
        <f>'Solution  2, (hidden)'!B48</f>
        <v xml:space="preserve"> </v>
      </c>
      <c r="E56" s="285" t="str">
        <f>IF('2. Inputs and results'!$C$21&gt;='2. Inputs and results'!$B$21,'Solution  2, (hidden)'!B48,'Solution 1, (hidden)'!B48)</f>
        <v xml:space="preserve"> </v>
      </c>
      <c r="F56" s="285" t="e">
        <f>'Solution 1, (hidden)'!AF48</f>
        <v>#N/A</v>
      </c>
      <c r="G56" s="285" t="e">
        <f>'Solution  2, (hidden)'!AF48</f>
        <v>#N/A</v>
      </c>
    </row>
    <row r="57" spans="3:7" x14ac:dyDescent="0.25">
      <c r="C57" s="285" t="str">
        <f>'Solution 1, (hidden)'!B49</f>
        <v xml:space="preserve"> </v>
      </c>
      <c r="D57" s="285" t="str">
        <f>'Solution  2, (hidden)'!B49</f>
        <v xml:space="preserve"> </v>
      </c>
      <c r="E57" s="285" t="str">
        <f>IF('2. Inputs and results'!$C$21&gt;='2. Inputs and results'!$B$21,'Solution  2, (hidden)'!B49,'Solution 1, (hidden)'!B49)</f>
        <v xml:space="preserve"> </v>
      </c>
      <c r="F57" s="285" t="e">
        <f>'Solution 1, (hidden)'!AF49</f>
        <v>#N/A</v>
      </c>
      <c r="G57" s="285" t="e">
        <f>'Solution  2, (hidden)'!AF49</f>
        <v>#N/A</v>
      </c>
    </row>
    <row r="58" spans="3:7" x14ac:dyDescent="0.25">
      <c r="C58" s="285" t="str">
        <f>'Solution 1, (hidden)'!B50</f>
        <v xml:space="preserve"> </v>
      </c>
      <c r="D58" s="285" t="str">
        <f>'Solution  2, (hidden)'!B50</f>
        <v xml:space="preserve"> </v>
      </c>
      <c r="E58" s="285" t="str">
        <f>IF('2. Inputs and results'!$C$21&gt;='2. Inputs and results'!$B$21,'Solution  2, (hidden)'!B50,'Solution 1, (hidden)'!B50)</f>
        <v xml:space="preserve"> </v>
      </c>
      <c r="F58" s="285" t="e">
        <f>'Solution 1, (hidden)'!AF50</f>
        <v>#N/A</v>
      </c>
      <c r="G58" s="285" t="e">
        <f>'Solution  2, (hidden)'!AF50</f>
        <v>#N/A</v>
      </c>
    </row>
    <row r="59" spans="3:7" x14ac:dyDescent="0.25">
      <c r="C59" s="285" t="str">
        <f>'Solution 1, (hidden)'!B51</f>
        <v xml:space="preserve"> </v>
      </c>
      <c r="D59" s="285" t="str">
        <f>'Solution  2, (hidden)'!B51</f>
        <v xml:space="preserve"> </v>
      </c>
      <c r="E59" s="285" t="str">
        <f>IF('2. Inputs and results'!$C$21&gt;='2. Inputs and results'!$B$21,'Solution  2, (hidden)'!B51,'Solution 1, (hidden)'!B51)</f>
        <v xml:space="preserve"> </v>
      </c>
      <c r="F59" s="285" t="e">
        <f>'Solution 1, (hidden)'!AF51</f>
        <v>#N/A</v>
      </c>
      <c r="G59" s="285" t="e">
        <f>'Solution  2, (hidden)'!AF51</f>
        <v>#N/A</v>
      </c>
    </row>
    <row r="60" spans="3:7" x14ac:dyDescent="0.25">
      <c r="C60" s="285" t="str">
        <f>'Solution 1, (hidden)'!B52</f>
        <v xml:space="preserve"> </v>
      </c>
      <c r="D60" s="285" t="str">
        <f>'Solution  2, (hidden)'!B52</f>
        <v xml:space="preserve"> </v>
      </c>
      <c r="E60" s="285" t="str">
        <f>IF('2. Inputs and results'!$C$21&gt;='2. Inputs and results'!$B$21,'Solution  2, (hidden)'!B52,'Solution 1, (hidden)'!B52)</f>
        <v xml:space="preserve"> </v>
      </c>
      <c r="F60" s="285" t="e">
        <f>'Solution 1, (hidden)'!AF52</f>
        <v>#N/A</v>
      </c>
      <c r="G60" s="285" t="e">
        <f>'Solution  2, (hidden)'!AF52</f>
        <v>#N/A</v>
      </c>
    </row>
    <row r="61" spans="3:7" x14ac:dyDescent="0.25">
      <c r="C61" s="285" t="str">
        <f>'Solution 1, (hidden)'!B53</f>
        <v xml:space="preserve"> </v>
      </c>
      <c r="D61" s="285" t="str">
        <f>'Solution  2, (hidden)'!B53</f>
        <v xml:space="preserve"> </v>
      </c>
      <c r="E61" s="285" t="str">
        <f>IF('2. Inputs and results'!$C$21&gt;='2. Inputs and results'!$B$21,'Solution  2, (hidden)'!B53,'Solution 1, (hidden)'!B53)</f>
        <v xml:space="preserve"> </v>
      </c>
      <c r="F61" s="285" t="e">
        <f>'Solution 1, (hidden)'!AF53</f>
        <v>#N/A</v>
      </c>
      <c r="G61" s="285" t="e">
        <f>'Solution  2, (hidden)'!AF53</f>
        <v>#N/A</v>
      </c>
    </row>
    <row r="62" spans="3:7" x14ac:dyDescent="0.25">
      <c r="C62" s="285" t="str">
        <f>'Solution 1, (hidden)'!B54</f>
        <v xml:space="preserve"> </v>
      </c>
      <c r="D62" s="285" t="str">
        <f>'Solution  2, (hidden)'!B54</f>
        <v xml:space="preserve"> </v>
      </c>
      <c r="E62" s="285" t="str">
        <f>IF('2. Inputs and results'!$C$21&gt;='2. Inputs and results'!$B$21,'Solution  2, (hidden)'!B54,'Solution 1, (hidden)'!B54)</f>
        <v xml:space="preserve"> </v>
      </c>
      <c r="F62" s="285" t="e">
        <f>'Solution 1, (hidden)'!AF54</f>
        <v>#N/A</v>
      </c>
      <c r="G62" s="285" t="e">
        <f>'Solution  2, (hidden)'!AF54</f>
        <v>#N/A</v>
      </c>
    </row>
    <row r="63" spans="3:7" x14ac:dyDescent="0.25">
      <c r="C63" s="285" t="str">
        <f>'Solution 1, (hidden)'!B55</f>
        <v xml:space="preserve"> </v>
      </c>
      <c r="D63" s="285" t="str">
        <f>'Solution  2, (hidden)'!B55</f>
        <v xml:space="preserve"> </v>
      </c>
      <c r="E63" s="285" t="str">
        <f>IF('2. Inputs and results'!$C$21&gt;='2. Inputs and results'!$B$21,'Solution  2, (hidden)'!B55,'Solution 1, (hidden)'!B55)</f>
        <v xml:space="preserve"> </v>
      </c>
      <c r="F63" s="285" t="e">
        <f>'Solution 1, (hidden)'!AF55</f>
        <v>#N/A</v>
      </c>
      <c r="G63" s="285" t="e">
        <f>'Solution  2, (hidden)'!AF55</f>
        <v>#N/A</v>
      </c>
    </row>
  </sheetData>
  <sheetProtection sheet="1" objects="1" scenarios="1"/>
  <conditionalFormatting sqref="E13:G63">
    <cfRule type="containsErrors" dxfId="24" priority="1">
      <formula>ISERROR(E13)</formula>
    </cfRule>
  </conditionalFormatting>
  <pageMargins left="0.7" right="0.7" top="0.75" bottom="0.75" header="0.3" footer="0.3"/>
  <pageSetup paperSize="9" scale="4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ul6"/>
  <dimension ref="A1:B12"/>
  <sheetViews>
    <sheetView workbookViewId="0">
      <selection activeCell="B18" sqref="B18"/>
    </sheetView>
  </sheetViews>
  <sheetFormatPr defaultRowHeight="15" x14ac:dyDescent="0.25"/>
  <cols>
    <col min="1" max="1" width="44.85546875" customWidth="1"/>
    <col min="2" max="2" width="101.7109375" customWidth="1"/>
  </cols>
  <sheetData>
    <row r="1" spans="1:2" x14ac:dyDescent="0.25">
      <c r="A1" t="s">
        <v>82</v>
      </c>
      <c r="B1" t="s">
        <v>83</v>
      </c>
    </row>
    <row r="2" spans="1:2" x14ac:dyDescent="0.25">
      <c r="A2" s="35"/>
    </row>
    <row r="3" spans="1:2" x14ac:dyDescent="0.25">
      <c r="A3" s="35">
        <v>43375</v>
      </c>
      <c r="B3" t="s">
        <v>85</v>
      </c>
    </row>
    <row r="4" spans="1:2" x14ac:dyDescent="0.25">
      <c r="A4" s="35">
        <v>43376</v>
      </c>
      <c r="B4" t="s">
        <v>86</v>
      </c>
    </row>
    <row r="5" spans="1:2" x14ac:dyDescent="0.25">
      <c r="A5" s="36">
        <v>43377</v>
      </c>
      <c r="B5" t="s">
        <v>90</v>
      </c>
    </row>
    <row r="6" spans="1:2" x14ac:dyDescent="0.25">
      <c r="A6" t="s">
        <v>95</v>
      </c>
      <c r="B6" t="s">
        <v>96</v>
      </c>
    </row>
    <row r="7" spans="1:2" x14ac:dyDescent="0.25">
      <c r="A7" s="36">
        <v>43396</v>
      </c>
      <c r="B7" t="s">
        <v>97</v>
      </c>
    </row>
    <row r="8" spans="1:2" x14ac:dyDescent="0.25">
      <c r="A8" s="38">
        <v>43405</v>
      </c>
      <c r="B8" t="s">
        <v>106</v>
      </c>
    </row>
    <row r="9" spans="1:2" x14ac:dyDescent="0.25">
      <c r="A9" s="38">
        <v>43435</v>
      </c>
      <c r="B9" t="s">
        <v>107</v>
      </c>
    </row>
    <row r="10" spans="1:2" x14ac:dyDescent="0.25">
      <c r="A10" s="35">
        <v>43444</v>
      </c>
      <c r="B10" t="s">
        <v>133</v>
      </c>
    </row>
    <row r="11" spans="1:2" x14ac:dyDescent="0.25">
      <c r="A11" s="35">
        <v>43454</v>
      </c>
      <c r="B11" t="s">
        <v>132</v>
      </c>
    </row>
    <row r="12" spans="1:2" x14ac:dyDescent="0.25">
      <c r="A12" s="35">
        <v>43486</v>
      </c>
      <c r="B12" t="s">
        <v>136</v>
      </c>
    </row>
  </sheetData>
  <sheetProtection sheet="1" objects="1" scenario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ul8"/>
  <dimension ref="A1:A6"/>
  <sheetViews>
    <sheetView workbookViewId="0">
      <selection activeCell="C15" sqref="C15"/>
    </sheetView>
  </sheetViews>
  <sheetFormatPr defaultRowHeight="15" x14ac:dyDescent="0.25"/>
  <cols>
    <col min="1" max="1" width="18.5703125" customWidth="1"/>
  </cols>
  <sheetData>
    <row r="1" spans="1:1" ht="15.75" x14ac:dyDescent="0.25">
      <c r="A1" s="28" t="s">
        <v>54</v>
      </c>
    </row>
    <row r="2" spans="1:1" ht="15.75" x14ac:dyDescent="0.25">
      <c r="A2" s="32" t="s">
        <v>55</v>
      </c>
    </row>
    <row r="3" spans="1:1" ht="15.75" x14ac:dyDescent="0.25">
      <c r="A3" s="33" t="s">
        <v>91</v>
      </c>
    </row>
    <row r="4" spans="1:1" ht="15.75" x14ac:dyDescent="0.25">
      <c r="A4" s="34" t="s">
        <v>84</v>
      </c>
    </row>
    <row r="5" spans="1:1" ht="15.75" x14ac:dyDescent="0.25">
      <c r="A5" s="107" t="s">
        <v>228</v>
      </c>
    </row>
    <row r="6" spans="1:1" ht="15.75" x14ac:dyDescent="0.25">
      <c r="A6" s="107" t="s">
        <v>229</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ul4">
    <pageSetUpPr fitToPage="1"/>
  </sheetPr>
  <dimension ref="A1:AF60"/>
  <sheetViews>
    <sheetView workbookViewId="0">
      <selection activeCell="I6" sqref="I6"/>
    </sheetView>
  </sheetViews>
  <sheetFormatPr defaultRowHeight="15" x14ac:dyDescent="0.25"/>
  <cols>
    <col min="1" max="2" width="27.42578125" customWidth="1"/>
    <col min="3" max="3" width="36.5703125" customWidth="1"/>
    <col min="4" max="5" width="34.85546875" customWidth="1"/>
    <col min="6" max="6" width="44.140625" customWidth="1"/>
    <col min="7" max="8" width="24.85546875" customWidth="1"/>
    <col min="9" max="9" width="26.42578125" customWidth="1"/>
    <col min="10" max="10" width="26.42578125" style="39" customWidth="1"/>
    <col min="11" max="11" width="33.28515625" customWidth="1"/>
    <col min="12" max="14" width="17.42578125" customWidth="1"/>
    <col min="15" max="15" width="27.85546875" customWidth="1"/>
    <col min="16" max="16" width="36.140625" customWidth="1"/>
    <col min="17" max="17" width="15" bestFit="1" customWidth="1"/>
    <col min="18" max="18" width="38.85546875" customWidth="1"/>
    <col min="19" max="22" width="32.7109375" customWidth="1"/>
    <col min="23" max="23" width="38.42578125" customWidth="1"/>
    <col min="24" max="25" width="32.7109375" customWidth="1"/>
    <col min="26" max="30" width="39" customWidth="1"/>
    <col min="31" max="31" width="17.5703125" customWidth="1"/>
  </cols>
  <sheetData>
    <row r="1" spans="1:32" x14ac:dyDescent="0.25">
      <c r="K1" s="11"/>
      <c r="P1" s="5"/>
      <c r="R1" s="15" t="s">
        <v>72</v>
      </c>
      <c r="S1" s="15"/>
      <c r="T1" s="42"/>
      <c r="U1" s="15"/>
      <c r="V1" s="15"/>
      <c r="W1" s="15"/>
      <c r="X1" s="15"/>
      <c r="Y1" s="42"/>
      <c r="Z1" s="15"/>
      <c r="AA1" s="15" t="s">
        <v>156</v>
      </c>
      <c r="AB1" s="15" t="s">
        <v>156</v>
      </c>
      <c r="AC1" s="15" t="s">
        <v>156</v>
      </c>
      <c r="AD1" s="15" t="s">
        <v>156</v>
      </c>
    </row>
    <row r="2" spans="1:32" x14ac:dyDescent="0.25">
      <c r="O2" s="6" t="s">
        <v>12</v>
      </c>
      <c r="P2" s="14">
        <f>'2. Inputs and results'!B81</f>
        <v>0.04</v>
      </c>
      <c r="R2" s="15"/>
      <c r="S2" s="15"/>
      <c r="T2" s="15"/>
      <c r="U2" s="6"/>
      <c r="V2" s="15"/>
      <c r="W2" s="15"/>
      <c r="X2" s="15"/>
      <c r="Y2" s="15"/>
      <c r="Z2" s="6"/>
      <c r="AA2" s="6"/>
      <c r="AB2" s="6"/>
      <c r="AC2" s="6"/>
      <c r="AD2" s="6"/>
    </row>
    <row r="3" spans="1:32" x14ac:dyDescent="0.25">
      <c r="G3" s="25" t="s">
        <v>154</v>
      </c>
      <c r="H3" s="25"/>
      <c r="I3" s="11"/>
      <c r="J3" s="11"/>
      <c r="K3" s="11"/>
      <c r="R3" s="15"/>
      <c r="S3" s="15"/>
      <c r="T3" s="15"/>
      <c r="U3" s="6" t="s">
        <v>53</v>
      </c>
      <c r="V3" s="15"/>
      <c r="W3" s="15"/>
      <c r="X3" s="15"/>
      <c r="Y3" s="15"/>
      <c r="Z3" t="s">
        <v>65</v>
      </c>
      <c r="AE3" t="s">
        <v>31</v>
      </c>
    </row>
    <row r="4" spans="1:32" x14ac:dyDescent="0.25">
      <c r="A4" t="s">
        <v>0</v>
      </c>
      <c r="C4" s="6" t="s">
        <v>153</v>
      </c>
      <c r="D4" s="6" t="s">
        <v>27</v>
      </c>
      <c r="E4" s="6" t="s">
        <v>61</v>
      </c>
      <c r="F4" s="6" t="s">
        <v>60</v>
      </c>
      <c r="G4" s="11" t="s">
        <v>29</v>
      </c>
      <c r="H4" s="11" t="s">
        <v>103</v>
      </c>
      <c r="I4" s="11" t="s">
        <v>30</v>
      </c>
      <c r="J4" s="11" t="s">
        <v>155</v>
      </c>
      <c r="K4" t="s">
        <v>50</v>
      </c>
      <c r="L4" t="s">
        <v>57</v>
      </c>
      <c r="M4" t="s">
        <v>34</v>
      </c>
      <c r="N4" t="s">
        <v>45</v>
      </c>
      <c r="O4" t="s">
        <v>14</v>
      </c>
      <c r="P4" t="s">
        <v>51</v>
      </c>
      <c r="Q4" t="s">
        <v>16</v>
      </c>
      <c r="R4" s="15" t="s">
        <v>62</v>
      </c>
      <c r="S4" s="15" t="s">
        <v>35</v>
      </c>
      <c r="T4" s="15" t="s">
        <v>52</v>
      </c>
      <c r="U4" s="15" t="s">
        <v>63</v>
      </c>
      <c r="V4" s="15" t="s">
        <v>37</v>
      </c>
      <c r="W4" s="15" t="s">
        <v>64</v>
      </c>
      <c r="X4" s="15" t="s">
        <v>36</v>
      </c>
      <c r="Y4" s="15" t="s">
        <v>52</v>
      </c>
      <c r="Z4" s="15" t="s">
        <v>41</v>
      </c>
      <c r="AA4" s="15" t="s">
        <v>75</v>
      </c>
      <c r="AB4" s="15" t="s">
        <v>47</v>
      </c>
      <c r="AC4" s="15" t="s">
        <v>74</v>
      </c>
      <c r="AD4" s="15" t="s">
        <v>48</v>
      </c>
      <c r="AE4" t="s">
        <v>33</v>
      </c>
      <c r="AF4" t="s">
        <v>32</v>
      </c>
    </row>
    <row r="5" spans="1:32" x14ac:dyDescent="0.25">
      <c r="A5">
        <v>0</v>
      </c>
      <c r="B5">
        <f>IF(A5&lt;('2. Inputs and results'!$B$21+1),A5," ")</f>
        <v>0</v>
      </c>
      <c r="C5" s="4">
        <v>0</v>
      </c>
      <c r="D5" s="4">
        <f>C5</f>
        <v>0</v>
      </c>
      <c r="E5" s="4">
        <v>0</v>
      </c>
      <c r="F5" s="4"/>
      <c r="G5" s="4">
        <v>0</v>
      </c>
      <c r="H5" s="4">
        <v>0</v>
      </c>
      <c r="I5" s="4">
        <v>0</v>
      </c>
      <c r="J5" s="4"/>
      <c r="K5" s="4">
        <f>G5+H5+I5</f>
        <v>0</v>
      </c>
      <c r="L5" s="4">
        <f>'2. Inputs and results'!B73-('2. Inputs and results'!B77*'2. Inputs and results'!B73)</f>
        <v>156400</v>
      </c>
      <c r="M5" s="4"/>
      <c r="N5" s="4"/>
      <c r="O5" s="4"/>
      <c r="P5" s="4"/>
      <c r="Q5" s="4"/>
      <c r="R5" s="4">
        <f>-L5</f>
        <v>-156400</v>
      </c>
      <c r="S5" s="4"/>
      <c r="T5" s="4"/>
      <c r="U5" s="4">
        <f>R5</f>
        <v>-156400</v>
      </c>
      <c r="V5" s="4"/>
      <c r="W5" s="4">
        <f>-L5</f>
        <v>-156400</v>
      </c>
      <c r="X5" s="4"/>
      <c r="Y5" s="4"/>
      <c r="Z5" s="4">
        <f>W5</f>
        <v>-156400</v>
      </c>
      <c r="AA5" s="4">
        <f>G5+I5+H5+T5-$V$5</f>
        <v>0</v>
      </c>
      <c r="AB5" s="20">
        <f>IF(A5&lt;('2. Inputs and results'!$B$21+1),AA5/L5,NA())</f>
        <v>0</v>
      </c>
      <c r="AC5" s="29">
        <f>(C5+Y5-$V$5)</f>
        <v>0</v>
      </c>
      <c r="AD5" s="20">
        <f>IF(A5&lt;('2. Inputs and results'!$B$21+1),AC5/L5,NA())</f>
        <v>0</v>
      </c>
      <c r="AE5">
        <f>IF(A5&lt;('2. Inputs and results'!$B$21+1),-'2. Inputs and results'!$B$121*A5," ")</f>
        <v>0</v>
      </c>
      <c r="AF5">
        <f>IF(A5&lt;('2. Inputs and results'!$B$21+1),AE5/1000,NA())</f>
        <v>0</v>
      </c>
    </row>
    <row r="6" spans="1:32" x14ac:dyDescent="0.25">
      <c r="A6">
        <f>A5+1</f>
        <v>1</v>
      </c>
      <c r="B6">
        <f>IF(A6&lt;('2. Inputs and results'!$B$21+1),A6," ")</f>
        <v>1</v>
      </c>
      <c r="C6" s="4">
        <f>IF(A6&lt;('2. Inputs and results'!$B$21+1),'2. Inputs and results'!$B$99+'2. Inputs and results'!$B$101," ")</f>
        <v>11460</v>
      </c>
      <c r="D6" s="4">
        <f>C6</f>
        <v>11460</v>
      </c>
      <c r="E6" s="4">
        <f>IF(B6&lt;('2. Inputs and results'!$B$21+1),C6/((1+$P$2)^A6)," ")</f>
        <v>11019.23076923077</v>
      </c>
      <c r="F6" s="4">
        <f>E6</f>
        <v>11019.23076923077</v>
      </c>
      <c r="G6" s="4">
        <f>'2. Inputs and results'!B93</f>
        <v>11700</v>
      </c>
      <c r="H6" s="4">
        <f>'2. Inputs and results'!B97</f>
        <v>0</v>
      </c>
      <c r="I6" s="4">
        <f>'2. Inputs and results'!B95</f>
        <v>-240</v>
      </c>
      <c r="J6" s="4">
        <f>'2. Inputs and results'!B101</f>
        <v>0</v>
      </c>
      <c r="K6" s="4">
        <f>G6+I6+H6+J6</f>
        <v>11460</v>
      </c>
      <c r="L6" s="4">
        <f>'2. Inputs and results'!B73-('2. Inputs and results'!B77*'2. Inputs and results'!B73)</f>
        <v>156400</v>
      </c>
      <c r="M6" s="4">
        <f>IF(A6&lt;('2. Inputs and results'!$B$21+1),'2. Inputs and results'!$B$75*'2. Inputs and results'!$B$73," ")</f>
        <v>1840</v>
      </c>
      <c r="N6" s="4">
        <f>IF(A6&lt;('2. Inputs and results'!$B$21+1),M6/((1+$P$2)^A6)," ")</f>
        <v>1769.2307692307693</v>
      </c>
      <c r="O6" s="4">
        <f>L6</f>
        <v>156400</v>
      </c>
      <c r="P6" s="4">
        <f>IF(A6&lt;('2. Inputs and results'!$B$21+1),(G6+I6+H6+J6)/((1+$P$2)^A6)," ")</f>
        <v>11019.23076923077</v>
      </c>
      <c r="Q6" s="4">
        <f>P6</f>
        <v>11019.23076923077</v>
      </c>
      <c r="R6" s="4">
        <f>-L6+G6+I6+J6+H6+T6-$V$6</f>
        <v>-149908</v>
      </c>
      <c r="S6" s="4">
        <f>IF(A6&lt;('2. Inputs and results'!$B$21+1),'2. Inputs and results'!$B$79*(R5)," ")</f>
        <v>-3128</v>
      </c>
      <c r="T6" s="4">
        <f>IF(S6&lt;0,S6,0)</f>
        <v>-3128</v>
      </c>
      <c r="U6" s="4">
        <f>IF(A6&lt;('2. Inputs and results'!$B$21+1),U5+(T6+I6+G6+H6+J6-$V$6)/((1+$P$2)^A6),NA())</f>
        <v>-150157.69230769231</v>
      </c>
      <c r="V6" s="4">
        <f>'2. Inputs and results'!$B$75*'2. Inputs and results'!$B$73</f>
        <v>1840</v>
      </c>
      <c r="W6" s="4">
        <f>-L6+C6+Y6-$V$6</f>
        <v>-149908</v>
      </c>
      <c r="X6" s="4">
        <f>IF(A6&lt;('2. Inputs and results'!$B$21+1),'2. Inputs and results'!$B$79*W5," ")</f>
        <v>-3128</v>
      </c>
      <c r="Y6" s="4">
        <f>IF(X6&lt;0,X6,0)</f>
        <v>-3128</v>
      </c>
      <c r="Z6" s="4">
        <f>IF(A6&lt;('2. Inputs and results'!$B$21+1),Z5+(C6-$V$6+Y6)/((1+$P$2)^A6),NA())</f>
        <v>-150157.69230769231</v>
      </c>
      <c r="AA6" s="4">
        <f>IF(A6&lt;('2. Inputs and results'!$B$21+1),AA5+(G6+I6+H6+T6-$V$6)," ")</f>
        <v>6492</v>
      </c>
      <c r="AB6" s="20">
        <f>IF(A6&lt;('2. Inputs and results'!$B$21+1),AA6/L6,NA())</f>
        <v>4.1508951406649619E-2</v>
      </c>
      <c r="AC6" s="29">
        <f>IF(A6&lt;('2. Inputs and results'!$B$21+1),AC5+(C6+Y6-$V$6)," ")</f>
        <v>6492</v>
      </c>
      <c r="AD6" s="20">
        <f>IF(A6&lt;('2. Inputs and results'!$B$21+1),AC6/L6,NA())</f>
        <v>4.1508951406649619E-2</v>
      </c>
      <c r="AE6">
        <f>IF(A6&lt;('2. Inputs and results'!$B$21+1),-'2. Inputs and results'!$B$121*A6," ")</f>
        <v>-20400</v>
      </c>
      <c r="AF6">
        <f>IF(A6&lt;('2. Inputs and results'!$B$21+1),AE6/1000,NA())</f>
        <v>-20.399999999999999</v>
      </c>
    </row>
    <row r="7" spans="1:32" x14ac:dyDescent="0.25">
      <c r="A7">
        <f t="shared" ref="A7:A55" si="0">A6+1</f>
        <v>2</v>
      </c>
      <c r="B7">
        <f>IF(A7&lt;('2. Inputs and results'!$B$21+1),A7," ")</f>
        <v>2</v>
      </c>
      <c r="C7" s="4">
        <f>IF(A7&lt;('2. Inputs and results'!$B$21+1),'2. Inputs and results'!$B$99+'2. Inputs and results'!$B$101," ")</f>
        <v>11460</v>
      </c>
      <c r="D7" s="4">
        <f>IF(A7&lt;('2. Inputs and results'!$B$21+1),D6+C7," ")</f>
        <v>22920</v>
      </c>
      <c r="E7" s="4">
        <f>IF(B7&lt;('2. Inputs and results'!$B$21+1),C7/((1+$P$2)^A7)," ")</f>
        <v>10595.41420118343</v>
      </c>
      <c r="F7" s="4">
        <f>IF(A7&lt;('2. Inputs and results'!$B$21+1),F6+E7," ")</f>
        <v>21614.6449704142</v>
      </c>
      <c r="G7" s="4">
        <f>IF(A7&lt;('2. Inputs and results'!$B$21+1),G6*(1+'2. Inputs and results'!$B$44)," ")</f>
        <v>12051</v>
      </c>
      <c r="H7" s="4">
        <f>IF(A7&lt;('2. Inputs and results'!$B$21+1),H6*(1+'2. Inputs and results'!$B$56)," ")</f>
        <v>0</v>
      </c>
      <c r="I7" s="4">
        <f>IF(A7&lt;('2. Inputs and results'!$B$21+1),I6*(1+'2. Inputs and results'!$B$32)," ")</f>
        <v>-247.20000000000002</v>
      </c>
      <c r="J7" s="4">
        <f>IF(A7&lt;('2. Inputs and results'!$B$21+1),J6*(1+'2. Inputs and results'!$B$66)," ")</f>
        <v>0</v>
      </c>
      <c r="K7" s="4">
        <f>IF('Solution 1, (hidden)'!A7&lt;('2. Inputs and results'!$B$21+1),K6+(G7+I7+H7+J7),NA())</f>
        <v>23263.8</v>
      </c>
      <c r="L7" s="4">
        <f>IF(A7&lt;('2. Inputs and results'!$B$21+1),L6,NA())</f>
        <v>156400</v>
      </c>
      <c r="M7" s="4">
        <f>IF(A7&lt;('2. Inputs and results'!$B$21+1),'2. Inputs and results'!$B$75*'2. Inputs and results'!$B$73," ")</f>
        <v>1840</v>
      </c>
      <c r="N7" s="4">
        <f>IF(A7&lt;('2. Inputs and results'!$B$21+1),M7/((1+$P$2)^A7)," ")</f>
        <v>1701.1834319526624</v>
      </c>
      <c r="O7" s="4">
        <f>IF(A7&lt;('2. Inputs and results'!$B$21+1),'2. Inputs and results'!$B$73*'2. Inputs and results'!$B$75+O6," ")</f>
        <v>158240</v>
      </c>
      <c r="P7" s="4">
        <f>IF(A7&lt;('2. Inputs and results'!$B$21+1),(G7+I7+H7+J7)/((1+$P$2)^A7)," ")</f>
        <v>10913.276627218933</v>
      </c>
      <c r="Q7" s="4">
        <f>IF(A7&lt;('2. Inputs and results'!$B$21+1),Q6+P7," ")</f>
        <v>21932.507396449702</v>
      </c>
      <c r="R7" s="4">
        <f>IF(A7&lt;('2. Inputs and results'!$B$21+1),R6+G7+I7+J7+H7+T7-$V$6,NA())</f>
        <v>-142942.36000000002</v>
      </c>
      <c r="S7" s="4">
        <f>IF(A7&lt;('2. Inputs and results'!$B$21+1),'2. Inputs and results'!$B$79*(R6)," ")</f>
        <v>-2998.16</v>
      </c>
      <c r="T7" s="4">
        <f t="shared" ref="T7:T55" si="1">IF(S7&lt;0,S7,0)</f>
        <v>-2998.16</v>
      </c>
      <c r="U7" s="4">
        <f>IF(A7&lt;('2. Inputs and results'!$B$21+1),U6+(T7+I7+G7+H7+J7-$V$6)/((1+$P$2)^A7),NA())</f>
        <v>-143717.56656804733</v>
      </c>
      <c r="V7" s="4">
        <f>IF(A7&lt;('2. Inputs and results'!$B$21+1),V6+('2. Inputs and results'!$B$75*'2. Inputs and results'!$B$73)," ")</f>
        <v>3680</v>
      </c>
      <c r="W7" s="4">
        <f>IF(A7&lt;('2. Inputs and results'!$B$21+1),W6+C7+Y7-$V$6,NA())</f>
        <v>-143286.16</v>
      </c>
      <c r="X7" s="4">
        <f>IF(A7&lt;('2. Inputs and results'!$B$21+1),'2. Inputs and results'!$B$79*W6," ")</f>
        <v>-2998.16</v>
      </c>
      <c r="Y7" s="4">
        <f t="shared" ref="Y7:Y55" si="2">IF(X7&lt;0,X7,0)</f>
        <v>-2998.16</v>
      </c>
      <c r="Z7" s="4">
        <f>IF(A7&lt;('2. Inputs and results'!$B$21+1),Z6+(C7-$V$6+Y7)/((1+$P$2)^A7),NA())</f>
        <v>-144035.42899408285</v>
      </c>
      <c r="AA7" s="4">
        <f>IF(A7&lt;('2. Inputs and results'!$B$21+1),AA6+(G7+I7+H7+T7-$V$6)," ")</f>
        <v>13457.64</v>
      </c>
      <c r="AB7" s="20">
        <f>IF(A7&lt;('2. Inputs and results'!$B$21+1),AA7/L7,NA())</f>
        <v>8.6046291560102295E-2</v>
      </c>
      <c r="AC7" s="29">
        <f>IF(A7&lt;('2. Inputs and results'!$B$21+1),AC6+(C7+Y7-$V$6)," ")</f>
        <v>13113.84</v>
      </c>
      <c r="AD7" s="20">
        <f>IF(A7&lt;('2. Inputs and results'!$B$21+1),AC7/L7,NA())</f>
        <v>8.384808184143222E-2</v>
      </c>
      <c r="AE7">
        <f>IF(A7&lt;('2. Inputs and results'!$B$21+1),-'2. Inputs and results'!$B$121*A7," ")</f>
        <v>-40800</v>
      </c>
      <c r="AF7">
        <f>IF(A7&lt;('2. Inputs and results'!$B$21+1),AE7/1000,NA())</f>
        <v>-40.799999999999997</v>
      </c>
    </row>
    <row r="8" spans="1:32" x14ac:dyDescent="0.25">
      <c r="A8">
        <f t="shared" si="0"/>
        <v>3</v>
      </c>
      <c r="B8">
        <f>IF(A8&lt;('2. Inputs and results'!$B$21+1),A8," ")</f>
        <v>3</v>
      </c>
      <c r="C8" s="4">
        <f>IF(A8&lt;('2. Inputs and results'!$B$21+1),'2. Inputs and results'!$B$99+'2. Inputs and results'!$B$101," ")</f>
        <v>11460</v>
      </c>
      <c r="D8" s="4">
        <f>IF(A8&lt;('2. Inputs and results'!$B$21+1),D7+C8,NA())</f>
        <v>34380</v>
      </c>
      <c r="E8" s="4">
        <f>IF(B8&lt;('2. Inputs and results'!$B$21+1),C8/((1+$P$2)^A8)," ")</f>
        <v>10187.898270368683</v>
      </c>
      <c r="F8" s="4">
        <f>IF(A8&lt;('2. Inputs and results'!$B$21+1),F7+E8," ")</f>
        <v>31802.543240782885</v>
      </c>
      <c r="G8" s="4">
        <f>IF(A8&lt;('2. Inputs and results'!$B$21+1),G7*(1+'2. Inputs and results'!$B$44)," ")</f>
        <v>12412.53</v>
      </c>
      <c r="H8" s="4">
        <f>IF(A8&lt;('2. Inputs and results'!$B$21+1),H7*(1+'2. Inputs and results'!$B$56)," ")</f>
        <v>0</v>
      </c>
      <c r="I8" s="4">
        <f>IF(A8&lt;('2. Inputs and results'!$B$21+1),I7*(1+'2. Inputs and results'!$B$32)," ")</f>
        <v>-254.61600000000001</v>
      </c>
      <c r="J8" s="4">
        <f>IF(A8&lt;('2. Inputs and results'!$B$21+1),J7*(1+'2. Inputs and results'!$B$66)," ")</f>
        <v>0</v>
      </c>
      <c r="K8" s="4">
        <f>IF('Solution 1, (hidden)'!A8&lt;('2. Inputs and results'!$B$21+1),K7+(G8+I8+H8+J8),NA())</f>
        <v>35421.714</v>
      </c>
      <c r="L8" s="4">
        <f>IF(A8&lt;('2. Inputs and results'!$B$21+1),L7,NA())</f>
        <v>156400</v>
      </c>
      <c r="M8" s="4">
        <f>IF(A8&lt;('2. Inputs and results'!$B$21+1),'2. Inputs and results'!$B$75*'2. Inputs and results'!$B$73," ")</f>
        <v>1840</v>
      </c>
      <c r="N8" s="4">
        <f>IF(A8&lt;('2. Inputs and results'!$B$21+1),M8/((1+$P$2)^A8)," ")</f>
        <v>1635.7532999544833</v>
      </c>
      <c r="O8" s="4">
        <f>IF(A8&lt;('2. Inputs and results'!$B$21+1),'2. Inputs and results'!$B$73*'2. Inputs and results'!$B$75+O7," ")</f>
        <v>160080</v>
      </c>
      <c r="P8" s="4">
        <f>IF(A8&lt;('2. Inputs and results'!$B$21+1),(G8+I8+H8+J8)/((1+$P$2)^A8)," ")</f>
        <v>10808.341275034138</v>
      </c>
      <c r="Q8" s="4">
        <f>IF(A8&lt;('2. Inputs and results'!$B$21+1),Q7+P8," ")</f>
        <v>32740.84867148384</v>
      </c>
      <c r="R8" s="4">
        <f>IF(A8&lt;('2. Inputs and results'!$B$21+1),R7+G8+I8+J8+H8+T8-$V$6,NA())</f>
        <v>-135483.29320000001</v>
      </c>
      <c r="S8" s="4">
        <f>IF(A8&lt;('2. Inputs and results'!$B$21+1),'2. Inputs and results'!$B$79*(R7)," ")</f>
        <v>-2858.8472000000002</v>
      </c>
      <c r="T8" s="4">
        <f t="shared" si="1"/>
        <v>-2858.8472000000002</v>
      </c>
      <c r="U8" s="4">
        <f>IF(A8&lt;('2. Inputs and results'!$B$21+1),U7+(T8+I8+G8+H8+J8-$V$6)/((1+$P$2)^A8),NA())</f>
        <v>-137086.48334376421</v>
      </c>
      <c r="V8" s="4">
        <f>IF(A8&lt;('2. Inputs and results'!$B$21+1),V7+('2. Inputs and results'!$B$75*'2. Inputs and results'!$B$73)," ")</f>
        <v>5520</v>
      </c>
      <c r="W8" s="4">
        <f>IF(A8&lt;('2. Inputs and results'!$B$21+1),W7+C8+Y8-$V$6,NA())</f>
        <v>-136531.88320000001</v>
      </c>
      <c r="X8" s="4">
        <f>IF(A8&lt;('2. Inputs and results'!$B$21+1),'2. Inputs and results'!$B$79*W7," ")</f>
        <v>-2865.7231999999999</v>
      </c>
      <c r="Y8" s="4">
        <f t="shared" si="2"/>
        <v>-2865.7231999999999</v>
      </c>
      <c r="Z8" s="4">
        <f>IF(A8&lt;('2. Inputs and results'!$B$21+1),Z7+(C8-$V$6+Y8)/((1+$P$2)^A8),NA())</f>
        <v>-138030.90151342741</v>
      </c>
      <c r="AA8" s="4">
        <f>IF(A8&lt;('2. Inputs and results'!$B$21+1),AA7+(G8+I8+H8+T8-$V$6)," ")</f>
        <v>20916.7068</v>
      </c>
      <c r="AB8" s="20">
        <f>IF(A8&lt;('2. Inputs and results'!$B$21+1),AA8/L8,NA())</f>
        <v>0.13373853452685422</v>
      </c>
      <c r="AC8" s="29">
        <f>IF(A8&lt;('2. Inputs and results'!$B$21+1),AC7+(C8+Y8-$V$6)," ")</f>
        <v>19868.1168</v>
      </c>
      <c r="AD8" s="20">
        <f>IF(A8&lt;('2. Inputs and results'!$B$21+1),AC8/L8,NA())</f>
        <v>0.12703399488491049</v>
      </c>
      <c r="AE8">
        <f>IF(A8&lt;('2. Inputs and results'!$B$21+1),-'2. Inputs and results'!$B$121*A8," ")</f>
        <v>-61200</v>
      </c>
      <c r="AF8">
        <f>IF(A8&lt;('2. Inputs and results'!$B$21+1),AE8/1000,NA())</f>
        <v>-61.2</v>
      </c>
    </row>
    <row r="9" spans="1:32" x14ac:dyDescent="0.25">
      <c r="A9">
        <f t="shared" si="0"/>
        <v>4</v>
      </c>
      <c r="B9">
        <f>IF(A9&lt;('2. Inputs and results'!$B$21+1),A9," ")</f>
        <v>4</v>
      </c>
      <c r="C9" s="4">
        <f>IF(A9&lt;('2. Inputs and results'!$B$21+1),'2. Inputs and results'!$B$99+'2. Inputs and results'!$B$101," ")</f>
        <v>11460</v>
      </c>
      <c r="D9" s="4">
        <f>IF(A9&lt;('2. Inputs and results'!$B$21+1),D8+C9,NA())</f>
        <v>45840</v>
      </c>
      <c r="E9" s="4">
        <f>IF(B9&lt;('2. Inputs and results'!$B$21+1),C9/((1+$P$2)^A9)," ")</f>
        <v>9796.0560292006558</v>
      </c>
      <c r="F9" s="4">
        <f>IF(A9&lt;('2. Inputs and results'!$B$21+1),F8+E9," ")</f>
        <v>41598.599269983541</v>
      </c>
      <c r="G9" s="4">
        <f>IF(A9&lt;('2. Inputs and results'!$B$21+1),G8*(1+'2. Inputs and results'!$B$44)," ")</f>
        <v>12784.905900000002</v>
      </c>
      <c r="H9" s="4">
        <f>IF(A9&lt;('2. Inputs and results'!$B$21+1),H8*(1+'2. Inputs and results'!$B$56)," ")</f>
        <v>0</v>
      </c>
      <c r="I9" s="4">
        <f>IF(A9&lt;('2. Inputs and results'!$B$21+1),I8*(1+'2. Inputs and results'!$B$32)," ")</f>
        <v>-262.25448</v>
      </c>
      <c r="J9" s="4">
        <f>IF(A9&lt;('2. Inputs and results'!$B$21+1),J8*(1+'2. Inputs and results'!$B$66)," ")</f>
        <v>0</v>
      </c>
      <c r="K9" s="4">
        <f>IF('Solution 1, (hidden)'!A9&lt;('2. Inputs and results'!$B$21+1),K8+(G9+I9+H9+J9),NA())</f>
        <v>47944.365420000002</v>
      </c>
      <c r="L9" s="4">
        <f>IF(A9&lt;('2. Inputs and results'!$B$21+1),L8,NA())</f>
        <v>156400</v>
      </c>
      <c r="M9" s="4">
        <f>IF(A9&lt;('2. Inputs and results'!$B$21+1),'2. Inputs and results'!$B$75*'2. Inputs and results'!$B$73," ")</f>
        <v>1840</v>
      </c>
      <c r="N9" s="4">
        <f>IF(A9&lt;('2. Inputs and results'!$B$21+1),M9/((1+$P$2)^A9)," ")</f>
        <v>1572.8397114946952</v>
      </c>
      <c r="O9" s="4">
        <f>IF(A9&lt;('2. Inputs and results'!$B$21+1),'2. Inputs and results'!$B$73*'2. Inputs and results'!$B$75+O8," ")</f>
        <v>161920</v>
      </c>
      <c r="P9" s="4">
        <f>IF(A9&lt;('2. Inputs and results'!$B$21+1),(G9+I9+H9+J9)/((1+$P$2)^A9)," ")</f>
        <v>10704.414916620348</v>
      </c>
      <c r="Q9" s="4">
        <f>IF(A9&lt;('2. Inputs and results'!$B$21+1),Q8+P9," ")</f>
        <v>43445.263588104186</v>
      </c>
      <c r="R9" s="4">
        <f>IF(A9&lt;('2. Inputs and results'!$B$21+1),R8+G9+I9+J9+H9+T9-$V$6,NA())</f>
        <v>-127510.30764400001</v>
      </c>
      <c r="S9" s="4">
        <f>IF(A9&lt;('2. Inputs and results'!$B$21+1),'2. Inputs and results'!$B$79*(R8)," ")</f>
        <v>-2709.6658640000005</v>
      </c>
      <c r="T9" s="4">
        <f t="shared" si="1"/>
        <v>-2709.6658640000005</v>
      </c>
      <c r="U9" s="4">
        <f>IF(A9&lt;('2. Inputs and results'!$B$21+1),U8+(T9+I9+G9+H9+J9-$V$6)/((1+$P$2)^A9),NA())</f>
        <v>-130271.14187547594</v>
      </c>
      <c r="V9" s="4">
        <f>IF(A9&lt;('2. Inputs and results'!$B$21+1),V8+('2. Inputs and results'!$B$75*'2. Inputs and results'!$B$73)," ")</f>
        <v>7360</v>
      </c>
      <c r="W9" s="4">
        <f>IF(A9&lt;('2. Inputs and results'!$B$21+1),W8+C9+Y9-$V$6,NA())</f>
        <v>-129642.52086400001</v>
      </c>
      <c r="X9" s="4">
        <f>IF(A9&lt;('2. Inputs and results'!$B$21+1),'2. Inputs and results'!$B$79*W8," ")</f>
        <v>-2730.6376640000003</v>
      </c>
      <c r="Y9" s="4">
        <f t="shared" si="2"/>
        <v>-2730.6376640000003</v>
      </c>
      <c r="Z9" s="4">
        <f>IF(A9&lt;('2. Inputs and results'!$B$21+1),Z8+(C9-$V$6+Y9)/((1+$P$2)^A9),NA())</f>
        <v>-132141.84571509226</v>
      </c>
      <c r="AA9" s="4">
        <f>IF(A9&lt;('2. Inputs and results'!$B$21+1),AA8+(G9+I9+H9+T9-$V$6)," ")</f>
        <v>28889.692356</v>
      </c>
      <c r="AB9" s="20">
        <f>IF(A9&lt;('2. Inputs and results'!$B$21+1),AA9/L9,NA())</f>
        <v>0.18471670304347826</v>
      </c>
      <c r="AC9" s="29">
        <f>IF(A9&lt;('2. Inputs and results'!$B$21+1),AC8+(C9+Y9-$V$6)," ")</f>
        <v>26757.479136000002</v>
      </c>
      <c r="AD9" s="20">
        <f>IF(A9&lt;('2. Inputs and results'!$B$21+1),AC9/L9,NA())</f>
        <v>0.17108362618925832</v>
      </c>
      <c r="AE9">
        <f>IF(A9&lt;('2. Inputs and results'!$B$21+1),-'2. Inputs and results'!$B$121*A9," ")</f>
        <v>-81600</v>
      </c>
      <c r="AF9">
        <f>IF(A9&lt;('2. Inputs and results'!$B$21+1),AE9/1000,NA())</f>
        <v>-81.599999999999994</v>
      </c>
    </row>
    <row r="10" spans="1:32" x14ac:dyDescent="0.25">
      <c r="A10">
        <f t="shared" si="0"/>
        <v>5</v>
      </c>
      <c r="B10">
        <f>IF(A10&lt;('2. Inputs and results'!$B$21+1),A10," ")</f>
        <v>5</v>
      </c>
      <c r="C10" s="4">
        <f>IF(A10&lt;('2. Inputs and results'!$B$21+1),'2. Inputs and results'!$B$99+'2. Inputs and results'!$B$101," ")</f>
        <v>11460</v>
      </c>
      <c r="D10" s="4">
        <f>IF(A10&lt;('2. Inputs and results'!$B$21+1),D9+C10,NA())</f>
        <v>57300</v>
      </c>
      <c r="E10" s="4">
        <f>IF(B10&lt;('2. Inputs and results'!$B$21+1),C10/((1+$P$2)^A10)," ")</f>
        <v>9419.2846434621679</v>
      </c>
      <c r="F10" s="4">
        <f>IF(A10&lt;('2. Inputs and results'!$B$21+1),F9+E10," ")</f>
        <v>51017.883913445708</v>
      </c>
      <c r="G10" s="4">
        <f>IF(A10&lt;('2. Inputs and results'!$B$21+1),G9*(1+'2. Inputs and results'!$B$44)," ")</f>
        <v>13168.453077000002</v>
      </c>
      <c r="H10" s="4">
        <f>IF(A10&lt;('2. Inputs and results'!$B$21+1),H9*(1+'2. Inputs and results'!$B$56)," ")</f>
        <v>0</v>
      </c>
      <c r="I10" s="4">
        <f>IF(A10&lt;('2. Inputs and results'!$B$21+1),I9*(1+'2. Inputs and results'!$B$32)," ")</f>
        <v>-270.12211439999999</v>
      </c>
      <c r="J10" s="4">
        <f>IF(A10&lt;('2. Inputs and results'!$B$21+1),J9*(1+'2. Inputs and results'!$B$66)," ")</f>
        <v>0</v>
      </c>
      <c r="K10" s="4">
        <f>IF('Solution 1, (hidden)'!A10&lt;('2. Inputs and results'!$B$21+1),K9+(G10+I10+H10+J10),NA())</f>
        <v>60842.696382600006</v>
      </c>
      <c r="L10" s="4">
        <f>IF(A10&lt;('2. Inputs and results'!$B$21+1),L9,NA())</f>
        <v>156400</v>
      </c>
      <c r="M10" s="4">
        <f>IF(A10&lt;('2. Inputs and results'!$B$21+1),'2. Inputs and results'!$B$75*'2. Inputs and results'!$B$73," ")</f>
        <v>1840</v>
      </c>
      <c r="N10" s="4">
        <f>IF(A10&lt;('2. Inputs and results'!$B$21+1),M10/((1+$P$2)^A10)," ")</f>
        <v>1512.3458764372069</v>
      </c>
      <c r="O10" s="4">
        <f>IF(A10&lt;('2. Inputs and results'!$B$21+1),'2. Inputs and results'!$B$73*'2. Inputs and results'!$B$75+O9," ")</f>
        <v>163760</v>
      </c>
      <c r="P10" s="4">
        <f>IF(A10&lt;('2. Inputs and results'!$B$21+1),(G10+I10+H10+J10)/((1+$P$2)^A10)," ")</f>
        <v>10601.487850114381</v>
      </c>
      <c r="Q10" s="4">
        <f>IF(A10&lt;('2. Inputs and results'!$B$21+1),Q9+P10," ")</f>
        <v>54046.751438218569</v>
      </c>
      <c r="R10" s="4">
        <f>IF(A10&lt;('2. Inputs and results'!$B$21+1),R9+G10+I10+J10+H10+T10-$V$6,NA())</f>
        <v>-119002.18283428001</v>
      </c>
      <c r="S10" s="4">
        <f>IF(A10&lt;('2. Inputs and results'!$B$21+1),'2. Inputs and results'!$B$79*(R9)," ")</f>
        <v>-2550.2061528800004</v>
      </c>
      <c r="T10" s="4">
        <f t="shared" si="1"/>
        <v>-2550.2061528800004</v>
      </c>
      <c r="U10" s="4">
        <f>IF(A10&lt;('2. Inputs and results'!$B$21+1),U9+(T10+I10+G10+H10+J10-$V$6)/((1+$P$2)^A10),NA())</f>
        <v>-123278.08346667532</v>
      </c>
      <c r="V10" s="4">
        <f>IF(A10&lt;('2. Inputs and results'!$B$21+1),V9+('2. Inputs and results'!$B$75*'2. Inputs and results'!$B$73)," ")</f>
        <v>9200</v>
      </c>
      <c r="W10" s="4">
        <f>IF(A10&lt;('2. Inputs and results'!$B$21+1),W9+C10+Y10-$V$6,NA())</f>
        <v>-122615.37128128001</v>
      </c>
      <c r="X10" s="4">
        <f>IF(A10&lt;('2. Inputs and results'!$B$21+1),'2. Inputs and results'!$B$79*W9," ")</f>
        <v>-2592.8504172800003</v>
      </c>
      <c r="Y10" s="4">
        <f t="shared" si="2"/>
        <v>-2592.8504172800003</v>
      </c>
      <c r="Z10" s="4">
        <f>IF(A10&lt;('2. Inputs and results'!$B$21+1),Z9+(C10-$V$6+Y10)/((1+$P$2)^A10),NA())</f>
        <v>-126366.04098980203</v>
      </c>
      <c r="AA10" s="4">
        <f>IF(A10&lt;('2. Inputs and results'!$B$21+1),AA9+(G10+I10+H10+T10-$V$6)," ")</f>
        <v>37397.81716572</v>
      </c>
      <c r="AB10" s="20">
        <f>IF(A10&lt;('2. Inputs and results'!$B$21+1),AA10/L10,NA())</f>
        <v>0.23911647804168798</v>
      </c>
      <c r="AC10" s="29">
        <f>IF(A10&lt;('2. Inputs and results'!$B$21+1),AC9+(C10+Y10-$V$6)," ")</f>
        <v>33784.62871872</v>
      </c>
      <c r="AD10" s="20">
        <f>IF(A10&lt;('2. Inputs and results'!$B$21+1),AC10/L10,NA())</f>
        <v>0.21601425011969308</v>
      </c>
      <c r="AE10">
        <f>IF(A10&lt;('2. Inputs and results'!$B$21+1),-'2. Inputs and results'!$B$121*A10," ")</f>
        <v>-102000</v>
      </c>
      <c r="AF10">
        <f>IF(A10&lt;('2. Inputs and results'!$B$21+1),AE10/1000,NA())</f>
        <v>-102</v>
      </c>
    </row>
    <row r="11" spans="1:32" x14ac:dyDescent="0.25">
      <c r="A11">
        <f t="shared" si="0"/>
        <v>6</v>
      </c>
      <c r="B11">
        <f>IF(A11&lt;('2. Inputs and results'!$B$21+1),A11," ")</f>
        <v>6</v>
      </c>
      <c r="C11" s="4">
        <f>IF(A11&lt;('2. Inputs and results'!$B$21+1),'2. Inputs and results'!$B$99+'2. Inputs and results'!$B$101," ")</f>
        <v>11460</v>
      </c>
      <c r="D11" s="4">
        <f>IF(A11&lt;('2. Inputs and results'!$B$21+1),D10+C11,NA())</f>
        <v>68760</v>
      </c>
      <c r="E11" s="4">
        <f>IF(B11&lt;('2. Inputs and results'!$B$21+1),C11/((1+$P$2)^A11)," ")</f>
        <v>9057.0044648674702</v>
      </c>
      <c r="F11" s="4">
        <f>IF(A11&lt;('2. Inputs and results'!$B$21+1),F10+E11," ")</f>
        <v>60074.888378313175</v>
      </c>
      <c r="G11" s="4">
        <f>IF(A11&lt;('2. Inputs and results'!$B$21+1),G10*(1+'2. Inputs and results'!$B$44)," ")</f>
        <v>13563.506669310002</v>
      </c>
      <c r="H11" s="4">
        <f>IF(A11&lt;('2. Inputs and results'!$B$21+1),H10*(1+'2. Inputs and results'!$B$56)," ")</f>
        <v>0</v>
      </c>
      <c r="I11" s="4">
        <f>IF(A11&lt;('2. Inputs and results'!$B$21+1),I10*(1+'2. Inputs and results'!$B$32)," ")</f>
        <v>-278.22577783200001</v>
      </c>
      <c r="J11" s="4">
        <f>IF(A11&lt;('2. Inputs and results'!$B$21+1),J10*(1+'2. Inputs and results'!$B$66)," ")</f>
        <v>0</v>
      </c>
      <c r="K11" s="4">
        <f>IF('Solution 1, (hidden)'!A11&lt;('2. Inputs and results'!$B$21+1),K10+(G11+I11+H11+J11),NA())</f>
        <v>74127.977274078003</v>
      </c>
      <c r="L11" s="4">
        <f>IF(A11&lt;('2. Inputs and results'!$B$21+1),L10,NA())</f>
        <v>156400</v>
      </c>
      <c r="M11" s="4">
        <f>IF(A11&lt;('2. Inputs and results'!$B$21+1),'2. Inputs and results'!$B$75*'2. Inputs and results'!$B$73," ")</f>
        <v>1840</v>
      </c>
      <c r="N11" s="4">
        <f>IF(A11&lt;('2. Inputs and results'!$B$21+1),M11/((1+$P$2)^A11)," ")</f>
        <v>1454.1787273434682</v>
      </c>
      <c r="O11" s="4">
        <f>IF(A11&lt;('2. Inputs and results'!$B$21+1),'2. Inputs and results'!$B$73*'2. Inputs and results'!$B$75+O10," ")</f>
        <v>165600</v>
      </c>
      <c r="P11" s="4">
        <f>IF(A11&lt;('2. Inputs and results'!$B$21+1),(G11+I11+H11+J11)/((1+$P$2)^A11)," ")</f>
        <v>10499.550466940203</v>
      </c>
      <c r="Q11" s="4">
        <f>IF(A11&lt;('2. Inputs and results'!$B$21+1),Q10+P11," ")</f>
        <v>64546.301905158776</v>
      </c>
      <c r="R11" s="4">
        <f>IF(A11&lt;('2. Inputs and results'!$B$21+1),R10+G11+I11+J11+H11+T11-$V$6,NA())</f>
        <v>-109936.9455994876</v>
      </c>
      <c r="S11" s="4">
        <f>IF(A11&lt;('2. Inputs and results'!$B$21+1),'2. Inputs and results'!$B$79*(R10)," ")</f>
        <v>-2380.0436566856001</v>
      </c>
      <c r="T11" s="4">
        <f t="shared" si="1"/>
        <v>-2380.0436566856001</v>
      </c>
      <c r="U11" s="4">
        <f>IF(A11&lt;('2. Inputs and results'!$B$21+1),U10+(T11+I11+G11+H11+J11-$V$6)/((1+$P$2)^A11),NA())</f>
        <v>-116113.69480082911</v>
      </c>
      <c r="V11" s="4">
        <f>IF(A11&lt;('2. Inputs and results'!$B$21+1),V10+('2. Inputs and results'!$B$75*'2. Inputs and results'!$B$73)," ")</f>
        <v>11040</v>
      </c>
      <c r="W11" s="4">
        <f>IF(A11&lt;('2. Inputs and results'!$B$21+1),W10+C11+Y11-$V$6,NA())</f>
        <v>-115447.6787069056</v>
      </c>
      <c r="X11" s="4">
        <f>IF(A11&lt;('2. Inputs and results'!$B$21+1),'2. Inputs and results'!$B$79*W10," ")</f>
        <v>-2452.3074256256</v>
      </c>
      <c r="Y11" s="4">
        <f t="shared" si="2"/>
        <v>-2452.3074256256</v>
      </c>
      <c r="Z11" s="4">
        <f>IF(A11&lt;('2. Inputs and results'!$B$21+1),Z10+(C11-$V$6+Y11)/((1+$P$2)^A11),NA())</f>
        <v>-120701.30943230583</v>
      </c>
      <c r="AA11" s="4">
        <f>IF(A11&lt;('2. Inputs and results'!$B$21+1),AA10+(G11+I11+H11+T11-$V$6)," ")</f>
        <v>46463.054400512403</v>
      </c>
      <c r="AB11" s="20">
        <f>IF(A11&lt;('2. Inputs and results'!$B$21+1),AA11/L11,NA())</f>
        <v>0.29707835294445273</v>
      </c>
      <c r="AC11" s="29">
        <f>IF(A11&lt;('2. Inputs and results'!$B$21+1),AC10+(C11+Y11-$V$6)," ")</f>
        <v>40952.321293094399</v>
      </c>
      <c r="AD11" s="20">
        <f>IF(A11&lt;('2. Inputs and results'!$B$21+1),AC11/L11,NA())</f>
        <v>0.26184348652873657</v>
      </c>
      <c r="AE11">
        <f>IF(A11&lt;('2. Inputs and results'!$B$21+1),-'2. Inputs and results'!$B$121*A11," ")</f>
        <v>-122400</v>
      </c>
      <c r="AF11">
        <f>IF(A11&lt;('2. Inputs and results'!$B$21+1),AE11/1000,NA())</f>
        <v>-122.4</v>
      </c>
    </row>
    <row r="12" spans="1:32" x14ac:dyDescent="0.25">
      <c r="A12">
        <f t="shared" si="0"/>
        <v>7</v>
      </c>
      <c r="B12">
        <f>IF(A12&lt;('2. Inputs and results'!$B$21+1),A12," ")</f>
        <v>7</v>
      </c>
      <c r="C12" s="4">
        <f>IF(A12&lt;('2. Inputs and results'!$B$21+1),'2. Inputs and results'!$B$99+'2. Inputs and results'!$B$101," ")</f>
        <v>11460</v>
      </c>
      <c r="D12" s="4">
        <f>IF(A12&lt;('2. Inputs and results'!$B$21+1),D11+C12,NA())</f>
        <v>80220</v>
      </c>
      <c r="E12" s="4">
        <f>IF(B12&lt;('2. Inputs and results'!$B$21+1),C12/((1+$P$2)^A12)," ")</f>
        <v>8708.658139295645</v>
      </c>
      <c r="F12" s="4">
        <f>IF(A12&lt;('2. Inputs and results'!$B$21+1),F11+E12," ")</f>
        <v>68783.546517608818</v>
      </c>
      <c r="G12" s="4">
        <f>IF(A12&lt;('2. Inputs and results'!$B$21+1),G11*(1+'2. Inputs and results'!$B$44)," ")</f>
        <v>13970.411869389302</v>
      </c>
      <c r="H12" s="4">
        <f>IF(A12&lt;('2. Inputs and results'!$B$21+1),H11*(1+'2. Inputs and results'!$B$56)," ")</f>
        <v>0</v>
      </c>
      <c r="I12" s="4">
        <f>IF(A12&lt;('2. Inputs and results'!$B$21+1),I11*(1+'2. Inputs and results'!$B$32)," ")</f>
        <v>-286.57255116696001</v>
      </c>
      <c r="J12" s="4">
        <f>IF(A12&lt;('2. Inputs and results'!$B$21+1),J11*(1+'2. Inputs and results'!$B$66)," ")</f>
        <v>0</v>
      </c>
      <c r="K12" s="4">
        <f>IF('Solution 1, (hidden)'!A12&lt;('2. Inputs and results'!$B$21+1),K11+(G12+I12+H12+J12),NA())</f>
        <v>87811.81659230034</v>
      </c>
      <c r="L12" s="4">
        <f>IF(A12&lt;('2. Inputs and results'!$B$21+1),L11,NA())</f>
        <v>156400</v>
      </c>
      <c r="M12" s="4">
        <f>IF(A12&lt;('2. Inputs and results'!$B$21+1),'2. Inputs and results'!$B$75*'2. Inputs and results'!$B$73," ")</f>
        <v>1840</v>
      </c>
      <c r="N12" s="4">
        <f>IF(A12&lt;('2. Inputs and results'!$B$21+1),M12/((1+$P$2)^A12)," ")</f>
        <v>1398.2487762917963</v>
      </c>
      <c r="O12" s="4">
        <f>IF(A12&lt;('2. Inputs and results'!$B$21+1),'2. Inputs and results'!$B$73*'2. Inputs and results'!$B$75+O11," ")</f>
        <v>167440</v>
      </c>
      <c r="P12" s="4">
        <f>IF(A12&lt;('2. Inputs and results'!$B$21+1),(G12+I12+H12+J12)/((1+$P$2)^A12)," ")</f>
        <v>10398.593250911934</v>
      </c>
      <c r="Q12" s="4">
        <f>IF(A12&lt;('2. Inputs and results'!$B$21+1),Q11+P12," ")</f>
        <v>74944.895156070706</v>
      </c>
      <c r="R12" s="4">
        <f>IF(A12&lt;('2. Inputs and results'!$B$21+1),R11+G12+I12+J12+H12+T12-$V$6,NA())</f>
        <v>-100291.84519325502</v>
      </c>
      <c r="S12" s="4">
        <f>IF(A12&lt;('2. Inputs and results'!$B$21+1),'2. Inputs and results'!$B$79*(R11)," ")</f>
        <v>-2198.7389119897521</v>
      </c>
      <c r="T12" s="4">
        <f t="shared" si="1"/>
        <v>-2198.7389119897521</v>
      </c>
      <c r="U12" s="4">
        <f>IF(A12&lt;('2. Inputs and results'!$B$21+1),U11+(T12+I12+G12+H12+J12-$V$6)/((1+$P$2)^A12),NA())</f>
        <v>-108784.21119201051</v>
      </c>
      <c r="V12" s="4">
        <f>IF(A12&lt;('2. Inputs and results'!$B$21+1),V11+('2. Inputs and results'!$B$75*'2. Inputs and results'!$B$73)," ")</f>
        <v>12880</v>
      </c>
      <c r="W12" s="4">
        <f>IF(A12&lt;('2. Inputs and results'!$B$21+1),W11+C12+Y12-$V$6,NA())</f>
        <v>-108136.63228104371</v>
      </c>
      <c r="X12" s="4">
        <f>IF(A12&lt;('2. Inputs and results'!$B$21+1),'2. Inputs and results'!$B$79*W11," ")</f>
        <v>-2308.9535741381119</v>
      </c>
      <c r="Y12" s="4">
        <f t="shared" si="2"/>
        <v>-2308.9535741381119</v>
      </c>
      <c r="Z12" s="4">
        <f>IF(A12&lt;('2. Inputs and results'!$B$21+1),Z11+(C12-$V$6+Y12)/((1+$P$2)^A12),NA())</f>
        <v>-115145.51502014611</v>
      </c>
      <c r="AA12" s="4">
        <f>IF(A12&lt;('2. Inputs and results'!$B$21+1),AA11+(G12+I12+H12+T12-$V$6)," ")</f>
        <v>56108.154806744991</v>
      </c>
      <c r="AB12" s="20">
        <f>IF(A12&lt;('2. Inputs and results'!$B$21+1),AA12/L12,NA())</f>
        <v>0.3587477928820012</v>
      </c>
      <c r="AC12" s="29">
        <f>IF(A12&lt;('2. Inputs and results'!$B$21+1),AC11+(C12+Y12-$V$6)," ")</f>
        <v>48263.367718956288</v>
      </c>
      <c r="AD12" s="20">
        <f>IF(A12&lt;('2. Inputs and results'!$B$21+1),AC12/L12,NA())</f>
        <v>0.30858930766596093</v>
      </c>
      <c r="AE12">
        <f>IF(A12&lt;('2. Inputs and results'!$B$21+1),-'2. Inputs and results'!$B$121*A12," ")</f>
        <v>-142800</v>
      </c>
      <c r="AF12">
        <f>IF(A12&lt;('2. Inputs and results'!$B$21+1),AE12/1000,NA())</f>
        <v>-142.80000000000001</v>
      </c>
    </row>
    <row r="13" spans="1:32" x14ac:dyDescent="0.25">
      <c r="A13">
        <f t="shared" si="0"/>
        <v>8</v>
      </c>
      <c r="B13">
        <f>IF(A13&lt;('2. Inputs and results'!$B$21+1),A13," ")</f>
        <v>8</v>
      </c>
      <c r="C13" s="4">
        <f>IF(A13&lt;('2. Inputs and results'!$B$21+1),'2. Inputs and results'!$B$99+'2. Inputs and results'!$B$101," ")</f>
        <v>11460</v>
      </c>
      <c r="D13" s="4">
        <f>IF(A13&lt;('2. Inputs and results'!$B$21+1),D12+C13,NA())</f>
        <v>91680</v>
      </c>
      <c r="E13" s="4">
        <f>IF(B13&lt;('2. Inputs and results'!$B$21+1),C13/((1+$P$2)^A13)," ")</f>
        <v>8373.7097493227338</v>
      </c>
      <c r="F13" s="4">
        <f>IF(A13&lt;('2. Inputs and results'!$B$21+1),F12+E13," ")</f>
        <v>77157.256266931552</v>
      </c>
      <c r="G13" s="4">
        <f>IF(A13&lt;('2. Inputs and results'!$B$21+1),G12*(1+'2. Inputs and results'!$B$44)," ")</f>
        <v>14389.524225470981</v>
      </c>
      <c r="H13" s="4">
        <f>IF(A13&lt;('2. Inputs and results'!$B$21+1),H12*(1+'2. Inputs and results'!$B$56)," ")</f>
        <v>0</v>
      </c>
      <c r="I13" s="4">
        <f>IF(A13&lt;('2. Inputs and results'!$B$21+1),I12*(1+'2. Inputs and results'!$B$32)," ")</f>
        <v>-295.16972770196884</v>
      </c>
      <c r="J13" s="4">
        <f>IF(A13&lt;('2. Inputs and results'!$B$21+1),J12*(1+'2. Inputs and results'!$B$66)," ")</f>
        <v>0</v>
      </c>
      <c r="K13" s="4">
        <f>IF('Solution 1, (hidden)'!A13&lt;('2. Inputs and results'!$B$21+1),K12+(G13+I13+H13+J13),NA())</f>
        <v>101906.17109006936</v>
      </c>
      <c r="L13" s="4">
        <f>IF(A13&lt;('2. Inputs and results'!$B$21+1),L12,NA())</f>
        <v>156400</v>
      </c>
      <c r="M13" s="4">
        <f>IF(A13&lt;('2. Inputs and results'!$B$21+1),'2. Inputs and results'!$B$75*'2. Inputs and results'!$B$73," ")</f>
        <v>1840</v>
      </c>
      <c r="N13" s="4">
        <f>IF(A13&lt;('2. Inputs and results'!$B$21+1),M13/((1+$P$2)^A13)," ")</f>
        <v>1344.4699772036502</v>
      </c>
      <c r="O13" s="4">
        <f>IF(A13&lt;('2. Inputs and results'!$B$21+1),'2. Inputs and results'!$B$73*'2. Inputs and results'!$B$75+O12," ")</f>
        <v>169280</v>
      </c>
      <c r="P13" s="4">
        <f>IF(A13&lt;('2. Inputs and results'!$B$21+1),(G13+I13+H13+J13)/((1+$P$2)^A13)," ")</f>
        <v>10298.606777345472</v>
      </c>
      <c r="Q13" s="4">
        <f>IF(A13&lt;('2. Inputs and results'!$B$21+1),Q12+P13," ")</f>
        <v>85243.501933416177</v>
      </c>
      <c r="R13" s="4">
        <f>IF(A13&lt;('2. Inputs and results'!$B$21+1),R12+G13+I13+J13+H13+T13-$V$6,NA())</f>
        <v>-90043.327599351105</v>
      </c>
      <c r="S13" s="4">
        <f>IF(A13&lt;('2. Inputs and results'!$B$21+1),'2. Inputs and results'!$B$79*(R12)," ")</f>
        <v>-2005.8369038651006</v>
      </c>
      <c r="T13" s="4">
        <f t="shared" si="1"/>
        <v>-2005.8369038651006</v>
      </c>
      <c r="U13" s="4">
        <f>IF(A13&lt;('2. Inputs and results'!$B$21+1),U12+(T13+I13+G13+H13+J13-$V$6)/((1+$P$2)^A13),NA())</f>
        <v>-101295.71977035442</v>
      </c>
      <c r="V13" s="4">
        <f>IF(A13&lt;('2. Inputs and results'!$B$21+1),V12+('2. Inputs and results'!$B$75*'2. Inputs and results'!$B$73)," ")</f>
        <v>14720</v>
      </c>
      <c r="W13" s="4">
        <f>IF(A13&lt;('2. Inputs and results'!$B$21+1),W12+C13+Y13-$V$6,NA())</f>
        <v>-100679.36492666458</v>
      </c>
      <c r="X13" s="4">
        <f>IF(A13&lt;('2. Inputs and results'!$B$21+1),'2. Inputs and results'!$B$79*W12," ")</f>
        <v>-2162.7326456208743</v>
      </c>
      <c r="Y13" s="4">
        <f t="shared" si="2"/>
        <v>-2162.7326456208743</v>
      </c>
      <c r="Z13" s="4">
        <f>IF(A13&lt;('2. Inputs and results'!$B$21+1),Z12+(C13-$V$6+Y13)/((1+$P$2)^A13),NA())</f>
        <v>-109696.56280822022</v>
      </c>
      <c r="AA13" s="4">
        <f>IF(A13&lt;('2. Inputs and results'!$B$21+1),AA12+(G13+I13+H13+T13-$V$6)," ")</f>
        <v>66356.672400648909</v>
      </c>
      <c r="AB13" s="20">
        <f>IF(A13&lt;('2. Inputs and results'!$B$21+1),AA13/L13,NA())</f>
        <v>0.42427539898113115</v>
      </c>
      <c r="AC13" s="29">
        <f>IF(A13&lt;('2. Inputs and results'!$B$21+1),AC12+(C13+Y13-$V$6)," ")</f>
        <v>55720.635073335412</v>
      </c>
      <c r="AD13" s="20">
        <f>IF(A13&lt;('2. Inputs and results'!$B$21+1),AC13/L13,NA())</f>
        <v>0.35627004522592975</v>
      </c>
      <c r="AE13">
        <f>IF(A13&lt;('2. Inputs and results'!$B$21+1),-'2. Inputs and results'!$B$121*A13," ")</f>
        <v>-163200</v>
      </c>
      <c r="AF13">
        <f>IF(A13&lt;('2. Inputs and results'!$B$21+1),AE13/1000,NA())</f>
        <v>-163.19999999999999</v>
      </c>
    </row>
    <row r="14" spans="1:32" x14ac:dyDescent="0.25">
      <c r="A14">
        <f t="shared" si="0"/>
        <v>9</v>
      </c>
      <c r="B14">
        <f>IF(A14&lt;('2. Inputs and results'!$B$21+1),A14," ")</f>
        <v>9</v>
      </c>
      <c r="C14" s="4">
        <f>IF(A14&lt;('2. Inputs and results'!$B$21+1),'2. Inputs and results'!$B$99+'2. Inputs and results'!$B$101," ")</f>
        <v>11460</v>
      </c>
      <c r="D14" s="4">
        <f>IF(A14&lt;('2. Inputs and results'!$B$21+1),D13+C14,NA())</f>
        <v>103140</v>
      </c>
      <c r="E14" s="4">
        <f>IF(B14&lt;('2. Inputs and results'!$B$21+1),C14/((1+$P$2)^A14)," ")</f>
        <v>8051.6439897333976</v>
      </c>
      <c r="F14" s="4">
        <f>IF(A14&lt;('2. Inputs and results'!$B$21+1),F13+E14," ")</f>
        <v>85208.900256664943</v>
      </c>
      <c r="G14" s="4">
        <f>IF(A14&lt;('2. Inputs and results'!$B$21+1),G13*(1+'2. Inputs and results'!$B$44)," ")</f>
        <v>14821.209952235111</v>
      </c>
      <c r="H14" s="4">
        <f>IF(A14&lt;('2. Inputs and results'!$B$21+1),H13*(1+'2. Inputs and results'!$B$56)," ")</f>
        <v>0</v>
      </c>
      <c r="I14" s="4">
        <f>IF(A14&lt;('2. Inputs and results'!$B$21+1),I13*(1+'2. Inputs and results'!$B$32)," ")</f>
        <v>-304.02481953302794</v>
      </c>
      <c r="J14" s="4">
        <f>IF(A14&lt;('2. Inputs and results'!$B$21+1),J13*(1+'2. Inputs and results'!$B$66)," ")</f>
        <v>0</v>
      </c>
      <c r="K14" s="4">
        <f>IF('Solution 1, (hidden)'!A14&lt;('2. Inputs and results'!$B$21+1),K13+(G14+I14+H14+J14),NA())</f>
        <v>116423.35622277144</v>
      </c>
      <c r="L14" s="4">
        <f>IF(A14&lt;('2. Inputs and results'!$B$21+1),L13,NA())</f>
        <v>156400</v>
      </c>
      <c r="M14" s="4">
        <f>IF(A14&lt;('2. Inputs and results'!$B$21+1),'2. Inputs and results'!$B$75*'2. Inputs and results'!$B$73," ")</f>
        <v>1840</v>
      </c>
      <c r="N14" s="4">
        <f>IF(A14&lt;('2. Inputs and results'!$B$21+1),M14/((1+$P$2)^A14)," ")</f>
        <v>1292.7595934650481</v>
      </c>
      <c r="O14" s="4">
        <f>IF(A14&lt;('2. Inputs and results'!$B$21+1),'2. Inputs and results'!$B$73*'2. Inputs and results'!$B$75+O13," ")</f>
        <v>171120</v>
      </c>
      <c r="P14" s="4">
        <f>IF(A14&lt;('2. Inputs and results'!$B$21+1),(G14+I14+H14+J14)/((1+$P$2)^A14)," ")</f>
        <v>10199.581712178688</v>
      </c>
      <c r="Q14" s="4">
        <f>IF(A14&lt;('2. Inputs and results'!$B$21+1),Q13+P14," ")</f>
        <v>95443.083645594859</v>
      </c>
      <c r="R14" s="4">
        <f>IF(A14&lt;('2. Inputs and results'!$B$21+1),R13+G14+I14+J14+H14+T14-$V$6,NA())</f>
        <v>-79167.009018636061</v>
      </c>
      <c r="S14" s="4">
        <f>IF(A14&lt;('2. Inputs and results'!$B$21+1),'2. Inputs and results'!$B$79*(R13)," ")</f>
        <v>-1800.8665519870221</v>
      </c>
      <c r="T14" s="4">
        <f t="shared" si="1"/>
        <v>-1800.8665519870221</v>
      </c>
      <c r="U14" s="4">
        <f>IF(A14&lt;('2. Inputs and results'!$B$21+1),U13+(T14+I14+G14+H14+J14-$V$6)/((1+$P$2)^A14),NA())</f>
        <v>-93654.162603614444</v>
      </c>
      <c r="V14" s="4">
        <f>IF(A14&lt;('2. Inputs and results'!$B$21+1),V13+('2. Inputs and results'!$B$75*'2. Inputs and results'!$B$73)," ")</f>
        <v>16560</v>
      </c>
      <c r="W14" s="4">
        <f>IF(A14&lt;('2. Inputs and results'!$B$21+1),W13+C14+Y14-$V$6,NA())</f>
        <v>-93072.952225197878</v>
      </c>
      <c r="X14" s="4">
        <f>IF(A14&lt;('2. Inputs and results'!$B$21+1),'2. Inputs and results'!$B$79*W13," ")</f>
        <v>-2013.5872985332917</v>
      </c>
      <c r="Y14" s="4">
        <f t="shared" si="2"/>
        <v>-2013.5872985332917</v>
      </c>
      <c r="Z14" s="4">
        <f>IF(A14&lt;('2. Inputs and results'!$B$21+1),Z13+(C14-$V$6+Y14)/((1+$P$2)^A14),NA())</f>
        <v>-104352.39813883137</v>
      </c>
      <c r="AA14" s="4">
        <f>IF(A14&lt;('2. Inputs and results'!$B$21+1),AA13+(G14+I14+H14+T14-$V$6)," ")</f>
        <v>77232.990981363968</v>
      </c>
      <c r="AB14" s="20">
        <f>IF(A14&lt;('2. Inputs and results'!$B$21+1),AA14/L14,NA())</f>
        <v>0.49381707788595885</v>
      </c>
      <c r="AC14" s="29">
        <f>IF(A14&lt;('2. Inputs and results'!$B$21+1),AC13+(C14+Y14-$V$6)," ")</f>
        <v>63327.047774802122</v>
      </c>
      <c r="AD14" s="20">
        <f>IF(A14&lt;('2. Inputs and results'!$B$21+1),AC14/L14,NA())</f>
        <v>0.40490439753709795</v>
      </c>
      <c r="AE14">
        <f>IF(A14&lt;('2. Inputs and results'!$B$21+1),-'2. Inputs and results'!$B$121*A14," ")</f>
        <v>-183600</v>
      </c>
      <c r="AF14">
        <f>IF(A14&lt;('2. Inputs and results'!$B$21+1),AE14/1000,NA())</f>
        <v>-183.6</v>
      </c>
    </row>
    <row r="15" spans="1:32" x14ac:dyDescent="0.25">
      <c r="A15">
        <f t="shared" si="0"/>
        <v>10</v>
      </c>
      <c r="B15">
        <f>IF(A15&lt;('2. Inputs and results'!$B$21+1),A15," ")</f>
        <v>10</v>
      </c>
      <c r="C15" s="4">
        <f>IF(A15&lt;('2. Inputs and results'!$B$21+1),'2. Inputs and results'!$B$99+'2. Inputs and results'!$B$101," ")</f>
        <v>11460</v>
      </c>
      <c r="D15" s="4">
        <f>IF(A15&lt;('2. Inputs and results'!$B$21+1),D14+C15,NA())</f>
        <v>114600</v>
      </c>
      <c r="E15" s="4">
        <f>IF(B15&lt;('2. Inputs and results'!$B$21+1),C15/((1+$P$2)^A15)," ")</f>
        <v>7741.9653747436514</v>
      </c>
      <c r="F15" s="4">
        <f>IF(A15&lt;('2. Inputs and results'!$B$21+1),F14+E15," ")</f>
        <v>92950.865631408597</v>
      </c>
      <c r="G15" s="4">
        <f>IF(A15&lt;('2. Inputs and results'!$B$21+1),G14*(1+'2. Inputs and results'!$B$44)," ")</f>
        <v>15265.846250802164</v>
      </c>
      <c r="H15" s="4">
        <f>IF(A15&lt;('2. Inputs and results'!$B$21+1),H14*(1+'2. Inputs and results'!$B$56)," ")</f>
        <v>0</v>
      </c>
      <c r="I15" s="4">
        <f>IF(A15&lt;('2. Inputs and results'!$B$21+1),I14*(1+'2. Inputs and results'!$B$32)," ")</f>
        <v>-313.14556411901879</v>
      </c>
      <c r="J15" s="4">
        <f>IF(A15&lt;('2. Inputs and results'!$B$21+1),J14*(1+'2. Inputs and results'!$B$66)," ")</f>
        <v>0</v>
      </c>
      <c r="K15" s="4">
        <f>IF('Solution 1, (hidden)'!A15&lt;('2. Inputs and results'!$B$21+1),K14+(G15+I15+H15+J15),NA())</f>
        <v>131376.05690945458</v>
      </c>
      <c r="L15" s="4">
        <f>IF(A15&lt;('2. Inputs and results'!$B$21+1),L14,NA())</f>
        <v>156400</v>
      </c>
      <c r="M15" s="4">
        <f>IF(A15&lt;('2. Inputs and results'!$B$21+1),'2. Inputs and results'!$B$75*'2. Inputs and results'!$B$73," ")</f>
        <v>1840</v>
      </c>
      <c r="N15" s="4">
        <f>IF(A15&lt;('2. Inputs and results'!$B$21+1),M15/((1+$P$2)^A15)," ")</f>
        <v>1243.0380706394694</v>
      </c>
      <c r="O15" s="4">
        <f>IF(A15&lt;('2. Inputs and results'!$B$21+1),'2. Inputs and results'!$B$73*'2. Inputs and results'!$B$75+O14," ")</f>
        <v>172960</v>
      </c>
      <c r="P15" s="4">
        <f>IF(A15&lt;('2. Inputs and results'!$B$21+1),(G15+I15+H15+J15)/((1+$P$2)^A15)," ")</f>
        <v>10101.508811100046</v>
      </c>
      <c r="Q15" s="4">
        <f>IF(A15&lt;('2. Inputs and results'!$B$21+1),Q14+P15," ")</f>
        <v>105544.59245669491</v>
      </c>
      <c r="R15" s="4">
        <f>IF(A15&lt;('2. Inputs and results'!$B$21+1),R14+G15+I15+J15+H15+T15-$V$6,NA())</f>
        <v>-67637.648512325643</v>
      </c>
      <c r="S15" s="4">
        <f>IF(A15&lt;('2. Inputs and results'!$B$21+1),'2. Inputs and results'!$B$79*(R14)," ")</f>
        <v>-1583.3401803727213</v>
      </c>
      <c r="T15" s="4">
        <f t="shared" si="1"/>
        <v>-1583.3401803727213</v>
      </c>
      <c r="U15" s="4">
        <f>IF(A15&lt;('2. Inputs and results'!$B$21+1),U14+(T15+I15+G15+H15+J15-$V$6)/((1+$P$2)^A15),NA())</f>
        <v>-85865.33975607586</v>
      </c>
      <c r="V15" s="4">
        <f>IF(A15&lt;('2. Inputs and results'!$B$21+1),V14+('2. Inputs and results'!$B$75*'2. Inputs and results'!$B$73)," ")</f>
        <v>18400</v>
      </c>
      <c r="W15" s="4">
        <f>IF(A15&lt;('2. Inputs and results'!$B$21+1),W14+C15+Y15-$V$6,NA())</f>
        <v>-85314.411269701843</v>
      </c>
      <c r="X15" s="4">
        <f>IF(A15&lt;('2. Inputs and results'!$B$21+1),'2. Inputs and results'!$B$79*W14," ")</f>
        <v>-1861.4590445039576</v>
      </c>
      <c r="Y15" s="4">
        <f t="shared" si="2"/>
        <v>-1861.4590445039576</v>
      </c>
      <c r="Z15" s="4">
        <f>IF(A15&lt;('2. Inputs and results'!$B$21+1),Z14+(C15-$V$6+Y15)/((1+$P$2)^A15),NA())</f>
        <v>-99111.005866930762</v>
      </c>
      <c r="AA15" s="4">
        <f>IF(A15&lt;('2. Inputs and results'!$B$21+1),AA14+(G15+I15+H15+T15-$V$6)," ")</f>
        <v>88762.351487674387</v>
      </c>
      <c r="AB15" s="20">
        <f>IF(A15&lt;('2. Inputs and results'!$B$21+1),AA15/L15,NA())</f>
        <v>0.56753421667310988</v>
      </c>
      <c r="AC15" s="29">
        <f>IF(A15&lt;('2. Inputs and results'!$B$21+1),AC14+(C15+Y15-$V$6)," ")</f>
        <v>71085.588730298157</v>
      </c>
      <c r="AD15" s="20">
        <f>IF(A15&lt;('2. Inputs and results'!$B$21+1),AC15/L15,NA())</f>
        <v>0.45451143689448947</v>
      </c>
      <c r="AE15">
        <f>IF(A15&lt;('2. Inputs and results'!$B$21+1),-'2. Inputs and results'!$B$121*A15," ")</f>
        <v>-204000</v>
      </c>
      <c r="AF15">
        <f>IF(A15&lt;('2. Inputs and results'!$B$21+1),AE15/1000,NA())</f>
        <v>-204</v>
      </c>
    </row>
    <row r="16" spans="1:32" x14ac:dyDescent="0.25">
      <c r="A16">
        <f t="shared" si="0"/>
        <v>11</v>
      </c>
      <c r="B16">
        <f>IF(A16&lt;('2. Inputs and results'!$B$21+1),A16," ")</f>
        <v>11</v>
      </c>
      <c r="C16" s="4">
        <f>IF(A16&lt;('2. Inputs and results'!$B$21+1),'2. Inputs and results'!$B$99+'2. Inputs and results'!$B$101," ")</f>
        <v>11460</v>
      </c>
      <c r="D16" s="4">
        <f>IF(A16&lt;('2. Inputs and results'!$B$21+1),D15+C16,NA())</f>
        <v>126060</v>
      </c>
      <c r="E16" s="4">
        <f>IF(B16&lt;('2. Inputs and results'!$B$21+1),C16/((1+$P$2)^A16)," ")</f>
        <v>7444.1974757150501</v>
      </c>
      <c r="F16" s="4">
        <f>IF(A16&lt;('2. Inputs and results'!$B$21+1),F15+E16," ")</f>
        <v>100395.06310712364</v>
      </c>
      <c r="G16" s="4">
        <f>IF(A16&lt;('2. Inputs and results'!$B$21+1),G15*(1+'2. Inputs and results'!$B$44)," ")</f>
        <v>15723.82163832623</v>
      </c>
      <c r="H16" s="4">
        <f>IF(A16&lt;('2. Inputs and results'!$B$21+1),H15*(1+'2. Inputs and results'!$B$56)," ")</f>
        <v>0</v>
      </c>
      <c r="I16" s="4">
        <f>IF(A16&lt;('2. Inputs and results'!$B$21+1),I15*(1+'2. Inputs and results'!$B$32)," ")</f>
        <v>-322.53993104258933</v>
      </c>
      <c r="J16" s="4">
        <f>IF(A16&lt;('2. Inputs and results'!$B$21+1),J15*(1+'2. Inputs and results'!$B$66)," ")</f>
        <v>0</v>
      </c>
      <c r="K16" s="4">
        <f>IF('Solution 1, (hidden)'!A16&lt;('2. Inputs and results'!$B$21+1),K15+(G16+I16+H16+J16),NA())</f>
        <v>146777.33861673821</v>
      </c>
      <c r="L16" s="4">
        <f>IF(A16&lt;('2. Inputs and results'!$B$21+1),L15,NA())</f>
        <v>156400</v>
      </c>
      <c r="M16" s="4">
        <f>IF(A16&lt;('2. Inputs and results'!$B$21+1),'2. Inputs and results'!$B$75*'2. Inputs and results'!$B$73," ")</f>
        <v>1840</v>
      </c>
      <c r="N16" s="4">
        <f>IF(A16&lt;('2. Inputs and results'!$B$21+1),M16/((1+$P$2)^A16)," ")</f>
        <v>1195.2289140764128</v>
      </c>
      <c r="O16" s="4">
        <f>IF(A16&lt;('2. Inputs and results'!$B$21+1),'2. Inputs and results'!$B$73*'2. Inputs and results'!$B$75+O15," ")</f>
        <v>174800</v>
      </c>
      <c r="P16" s="4">
        <f>IF(A16&lt;('2. Inputs and results'!$B$21+1),(G16+I16+H16+J16)/((1+$P$2)^A16)," ")</f>
        <v>10004.378918685625</v>
      </c>
      <c r="Q16" s="4">
        <f>IF(A16&lt;('2. Inputs and results'!$B$21+1),Q15+P16," ")</f>
        <v>115548.97137538054</v>
      </c>
      <c r="R16" s="4">
        <f>IF(A16&lt;('2. Inputs and results'!$B$21+1),R15+G16+I16+J16+H16+T16-$V$6,NA())</f>
        <v>-55429.119775288513</v>
      </c>
      <c r="S16" s="4">
        <f>IF(A16&lt;('2. Inputs and results'!$B$21+1),'2. Inputs and results'!$B$79*(R15)," ")</f>
        <v>-1352.7529702465129</v>
      </c>
      <c r="T16" s="4">
        <f t="shared" si="1"/>
        <v>-1352.7529702465129</v>
      </c>
      <c r="U16" s="4">
        <f>IF(A16&lt;('2. Inputs and results'!$B$21+1),U15+(T16+I16+G16+H16+J16-$V$6)/((1+$P$2)^A16),NA())</f>
        <v>-77934.912286054358</v>
      </c>
      <c r="V16" s="4">
        <f>IF(A16&lt;('2. Inputs and results'!$B$21+1),V15+('2. Inputs and results'!$B$75*'2. Inputs and results'!$B$73)," ")</f>
        <v>20240</v>
      </c>
      <c r="W16" s="4">
        <f>IF(A16&lt;('2. Inputs and results'!$B$21+1),W15+C16+Y16-$V$6,NA())</f>
        <v>-77400.699495095876</v>
      </c>
      <c r="X16" s="4">
        <f>IF(A16&lt;('2. Inputs and results'!$B$21+1),'2. Inputs and results'!$B$79*W15," ")</f>
        <v>-1706.288225394037</v>
      </c>
      <c r="Y16" s="4">
        <f t="shared" si="2"/>
        <v>-1706.288225394037</v>
      </c>
      <c r="Z16" s="4">
        <f>IF(A16&lt;('2. Inputs and results'!$B$21+1),Z15+(C16-$V$6+Y16)/((1+$P$2)^A16),NA())</f>
        <v>-93970.409600259023</v>
      </c>
      <c r="AA16" s="4">
        <f>IF(A16&lt;('2. Inputs and results'!$B$21+1),AA15+(G16+I16+H16+T16-$V$6)," ")</f>
        <v>100970.88022471151</v>
      </c>
      <c r="AB16" s="20">
        <f>IF(A16&lt;('2. Inputs and results'!$B$21+1),AA16/L16,NA())</f>
        <v>0.64559386332935742</v>
      </c>
      <c r="AC16" s="29">
        <f>IF(A16&lt;('2. Inputs and results'!$B$21+1),AC15+(C16+Y16-$V$6)," ")</f>
        <v>78999.300504904124</v>
      </c>
      <c r="AD16" s="20">
        <f>IF(A16&lt;('2. Inputs and results'!$B$21+1),AC16/L16,NA())</f>
        <v>0.50511061703902893</v>
      </c>
      <c r="AE16">
        <f>IF(A16&lt;('2. Inputs and results'!$B$21+1),-'2. Inputs and results'!$B$121*A16," ")</f>
        <v>-224400</v>
      </c>
      <c r="AF16">
        <f>IF(A16&lt;('2. Inputs and results'!$B$21+1),AE16/1000,NA())</f>
        <v>-224.4</v>
      </c>
    </row>
    <row r="17" spans="1:32" x14ac:dyDescent="0.25">
      <c r="A17">
        <f t="shared" si="0"/>
        <v>12</v>
      </c>
      <c r="B17">
        <f>IF(A17&lt;('2. Inputs and results'!$B$21+1),A17," ")</f>
        <v>12</v>
      </c>
      <c r="C17" s="4">
        <f>IF(A17&lt;('2. Inputs and results'!$B$21+1),'2. Inputs and results'!$B$99+'2. Inputs and results'!$B$101," ")</f>
        <v>11460</v>
      </c>
      <c r="D17" s="4">
        <f>IF(A17&lt;('2. Inputs and results'!$B$21+1),D16+C17,NA())</f>
        <v>137520</v>
      </c>
      <c r="E17" s="4">
        <f>IF(B17&lt;('2. Inputs and results'!$B$21+1),C17/((1+$P$2)^A17)," ")</f>
        <v>7157.8821881875465</v>
      </c>
      <c r="F17" s="4">
        <f>IF(A17&lt;('2. Inputs and results'!$B$21+1),F16+E17," ")</f>
        <v>107552.94529531119</v>
      </c>
      <c r="G17" s="4">
        <f>IF(A17&lt;('2. Inputs and results'!$B$21+1),G16*(1+'2. Inputs and results'!$B$44)," ")</f>
        <v>16195.536287476018</v>
      </c>
      <c r="H17" s="4">
        <f>IF(A17&lt;('2. Inputs and results'!$B$21+1),H16*(1+'2. Inputs and results'!$B$56)," ")</f>
        <v>0</v>
      </c>
      <c r="I17" s="4">
        <f>IF(A17&lt;('2. Inputs and results'!$B$21+1),I16*(1+'2. Inputs and results'!$B$32)," ")</f>
        <v>-332.216128973867</v>
      </c>
      <c r="J17" s="4">
        <f>IF(A17&lt;('2. Inputs and results'!$B$21+1),J16*(1+'2. Inputs and results'!$B$66)," ")</f>
        <v>0</v>
      </c>
      <c r="K17" s="4">
        <f>IF('Solution 1, (hidden)'!A17&lt;('2. Inputs and results'!$B$21+1),K16+(G17+I17+H17+J17),NA())</f>
        <v>162640.65877524036</v>
      </c>
      <c r="L17" s="4">
        <f>IF(A17&lt;('2. Inputs and results'!$B$21+1),L16,NA())</f>
        <v>156400</v>
      </c>
      <c r="M17" s="4">
        <f>IF(A17&lt;('2. Inputs and results'!$B$21+1),'2. Inputs and results'!$B$75*'2. Inputs and results'!$B$73," ")</f>
        <v>1840</v>
      </c>
      <c r="N17" s="4">
        <f>IF(A17&lt;('2. Inputs and results'!$B$21+1),M17/((1+$P$2)^A17)," ")</f>
        <v>1149.2585712273199</v>
      </c>
      <c r="O17" s="4">
        <f>IF(A17&lt;('2. Inputs and results'!$B$21+1),'2. Inputs and results'!$B$73*'2. Inputs and results'!$B$75+O16," ")</f>
        <v>176640</v>
      </c>
      <c r="P17" s="4">
        <f>IF(A17&lt;('2. Inputs and results'!$B$21+1),(G17+I17+H17+J17)/((1+$P$2)^A17)," ")</f>
        <v>9908.1829675444151</v>
      </c>
      <c r="Q17" s="4">
        <f>IF(A17&lt;('2. Inputs and results'!$B$21+1),Q16+P17," ")</f>
        <v>125457.15434292496</v>
      </c>
      <c r="R17" s="4">
        <f>IF(A17&lt;('2. Inputs and results'!$B$21+1),R16+G17+I17+J17+H17+T17-$V$6,NA())</f>
        <v>-42514.382012292132</v>
      </c>
      <c r="S17" s="4">
        <f>IF(A17&lt;('2. Inputs and results'!$B$21+1),'2. Inputs and results'!$B$79*(R16)," ")</f>
        <v>-1108.5823955057704</v>
      </c>
      <c r="T17" s="4">
        <f t="shared" si="1"/>
        <v>-1108.5823955057704</v>
      </c>
      <c r="U17" s="4">
        <f>IF(A17&lt;('2. Inputs and results'!$B$21+1),U16+(T17+I17+G17+H17+J17-$V$6)/((1+$P$2)^A17),NA())</f>
        <v>-69868.405183186565</v>
      </c>
      <c r="V17" s="4">
        <f>IF(A17&lt;('2. Inputs and results'!$B$21+1),V16+('2. Inputs and results'!$B$75*'2. Inputs and results'!$B$73)," ")</f>
        <v>22080</v>
      </c>
      <c r="W17" s="4">
        <f>IF(A17&lt;('2. Inputs and results'!$B$21+1),W16+C17+Y17-$V$6,NA())</f>
        <v>-69328.713484997788</v>
      </c>
      <c r="X17" s="4">
        <f>IF(A17&lt;('2. Inputs and results'!$B$21+1),'2. Inputs and results'!$B$79*W16," ")</f>
        <v>-1548.0139899019175</v>
      </c>
      <c r="Y17" s="4">
        <f t="shared" si="2"/>
        <v>-1548.0139899019175</v>
      </c>
      <c r="Z17" s="4">
        <f>IF(A17&lt;('2. Inputs and results'!$B$21+1),Z16+(C17-$V$6+Y17)/((1+$P$2)^A17),NA())</f>
        <v>-88928.670954100206</v>
      </c>
      <c r="AA17" s="4">
        <f>IF(A17&lt;('2. Inputs and results'!$B$21+1),AA16+(G17+I17+H17+T17-$V$6)," ")</f>
        <v>113885.6179877079</v>
      </c>
      <c r="AB17" s="20">
        <f>IF(A17&lt;('2. Inputs and results'!$B$21+1),AA17/L17,NA())</f>
        <v>0.72816891296488429</v>
      </c>
      <c r="AC17" s="29">
        <f>IF(A17&lt;('2. Inputs and results'!$B$21+1),AC16+(C17+Y17-$V$6)," ")</f>
        <v>87071.286515002212</v>
      </c>
      <c r="AD17" s="20">
        <f>IF(A17&lt;('2. Inputs and results'!$B$21+1),AC17/L17,NA())</f>
        <v>0.55672178078645917</v>
      </c>
      <c r="AE17">
        <f>IF(A17&lt;('2. Inputs and results'!$B$21+1),-'2. Inputs and results'!$B$121*A17," ")</f>
        <v>-244800</v>
      </c>
      <c r="AF17">
        <f>IF(A17&lt;('2. Inputs and results'!$B$21+1),AE17/1000,NA())</f>
        <v>-244.8</v>
      </c>
    </row>
    <row r="18" spans="1:32" x14ac:dyDescent="0.25">
      <c r="A18">
        <f t="shared" si="0"/>
        <v>13</v>
      </c>
      <c r="B18">
        <f>IF(A18&lt;('2. Inputs and results'!$B$21+1),A18," ")</f>
        <v>13</v>
      </c>
      <c r="C18" s="4">
        <f>IF(A18&lt;('2. Inputs and results'!$B$21+1),'2. Inputs and results'!$B$99+'2. Inputs and results'!$B$101," ")</f>
        <v>11460</v>
      </c>
      <c r="D18" s="4">
        <f>IF(A18&lt;('2. Inputs and results'!$B$21+1),D17+C18,NA())</f>
        <v>148980</v>
      </c>
      <c r="E18" s="4">
        <f>IF(B18&lt;('2. Inputs and results'!$B$21+1),C18/((1+$P$2)^A18)," ")</f>
        <v>6882.5790271034102</v>
      </c>
      <c r="F18" s="4">
        <f>IF(A18&lt;('2. Inputs and results'!$B$21+1),F17+E18," ")</f>
        <v>114435.5243224146</v>
      </c>
      <c r="G18" s="4">
        <f>IF(A18&lt;('2. Inputs and results'!$B$21+1),G17*(1+'2. Inputs and results'!$B$44)," ")</f>
        <v>16681.402376100297</v>
      </c>
      <c r="H18" s="4">
        <f>IF(A18&lt;('2. Inputs and results'!$B$21+1),H17*(1+'2. Inputs and results'!$B$56)," ")</f>
        <v>0</v>
      </c>
      <c r="I18" s="4">
        <f>IF(A18&lt;('2. Inputs and results'!$B$21+1),I17*(1+'2. Inputs and results'!$B$32)," ")</f>
        <v>-342.18261284308301</v>
      </c>
      <c r="J18" s="4">
        <f>IF(A18&lt;('2. Inputs and results'!$B$21+1),J17*(1+'2. Inputs and results'!$B$66)," ")</f>
        <v>0</v>
      </c>
      <c r="K18" s="4">
        <f>IF('Solution 1, (hidden)'!A18&lt;('2. Inputs and results'!$B$21+1),K17+(G18+I18+H18+J18),NA())</f>
        <v>178979.87853849758</v>
      </c>
      <c r="L18" s="4">
        <f>IF(A18&lt;('2. Inputs and results'!$B$21+1),L17,NA())</f>
        <v>156400</v>
      </c>
      <c r="M18" s="4">
        <f>IF(A18&lt;('2. Inputs and results'!$B$21+1),'2. Inputs and results'!$B$75*'2. Inputs and results'!$B$73," ")</f>
        <v>1840</v>
      </c>
      <c r="N18" s="4">
        <f>IF(A18&lt;('2. Inputs and results'!$B$21+1),M18/((1+$P$2)^A18)," ")</f>
        <v>1105.0563184878076</v>
      </c>
      <c r="O18" s="4">
        <f>IF(A18&lt;('2. Inputs and results'!$B$21+1),'2. Inputs and results'!$B$73*'2. Inputs and results'!$B$75+O17," ")</f>
        <v>178480</v>
      </c>
      <c r="P18" s="4">
        <f>IF(A18&lt;('2. Inputs and results'!$B$21+1),(G18+I18+H18+J18)/((1+$P$2)^A18)," ")</f>
        <v>9812.9119774718711</v>
      </c>
      <c r="Q18" s="4">
        <f>IF(A18&lt;('2. Inputs and results'!$B$21+1),Q17+P18," ")</f>
        <v>135270.06632039684</v>
      </c>
      <c r="R18" s="4">
        <f>IF(A18&lt;('2. Inputs and results'!$B$21+1),R17+G18+I18+J18+H18+T18-$V$6,NA())</f>
        <v>-28865.449889280761</v>
      </c>
      <c r="S18" s="4">
        <f>IF(A18&lt;('2. Inputs and results'!$B$21+1),'2. Inputs and results'!$B$79*(R17)," ")</f>
        <v>-850.28764024584268</v>
      </c>
      <c r="T18" s="4">
        <f t="shared" si="1"/>
        <v>-850.28764024584268</v>
      </c>
      <c r="U18" s="4">
        <f>IF(A18&lt;('2. Inputs and results'!$B$21+1),U17+(T18+I18+G18+H18+J18-$V$6)/((1+$P$2)^A18),NA())</f>
        <v>-61671.210246694762</v>
      </c>
      <c r="V18" s="4">
        <f>IF(A18&lt;('2. Inputs and results'!$B$21+1),V17+('2. Inputs and results'!$B$75*'2. Inputs and results'!$B$73)," ")</f>
        <v>23920</v>
      </c>
      <c r="W18" s="4">
        <f>IF(A18&lt;('2. Inputs and results'!$B$21+1),W17+C18+Y18-$V$6,NA())</f>
        <v>-61095.287754697747</v>
      </c>
      <c r="X18" s="4">
        <f>IF(A18&lt;('2. Inputs and results'!$B$21+1),'2. Inputs and results'!$B$79*W17," ")</f>
        <v>-1386.5742696999557</v>
      </c>
      <c r="Y18" s="4">
        <f t="shared" si="2"/>
        <v>-1386.5742696999557</v>
      </c>
      <c r="Z18" s="4">
        <f>IF(A18&lt;('2. Inputs and results'!$B$21+1),Z17+(C18-$V$6+Y18)/((1+$P$2)^A18),NA())</f>
        <v>-83983.888820367516</v>
      </c>
      <c r="AA18" s="4">
        <f>IF(A18&lt;('2. Inputs and results'!$B$21+1),AA17+(G18+I18+H18+T18-$V$6)," ")</f>
        <v>127534.55011071927</v>
      </c>
      <c r="AB18" s="20">
        <f>IF(A18&lt;('2. Inputs and results'!$B$21+1),AA18/L18,NA())</f>
        <v>0.8154382999406603</v>
      </c>
      <c r="AC18" s="29">
        <f>IF(A18&lt;('2. Inputs and results'!$B$21+1),AC17+(C18+Y18-$V$6)," ")</f>
        <v>95304.71224530226</v>
      </c>
      <c r="AD18" s="20">
        <f>IF(A18&lt;('2. Inputs and results'!$B$21+1),AC18/L18,NA())</f>
        <v>0.60936516780883798</v>
      </c>
      <c r="AE18">
        <f>IF(A18&lt;('2. Inputs and results'!$B$21+1),-'2. Inputs and results'!$B$121*A18," ")</f>
        <v>-265200</v>
      </c>
      <c r="AF18">
        <f>IF(A18&lt;('2. Inputs and results'!$B$21+1),AE18/1000,NA())</f>
        <v>-265.2</v>
      </c>
    </row>
    <row r="19" spans="1:32" x14ac:dyDescent="0.25">
      <c r="A19">
        <f t="shared" si="0"/>
        <v>14</v>
      </c>
      <c r="B19">
        <f>IF(A19&lt;('2. Inputs and results'!$B$21+1),A19," ")</f>
        <v>14</v>
      </c>
      <c r="C19" s="4">
        <f>IF(A19&lt;('2. Inputs and results'!$B$21+1),'2. Inputs and results'!$B$99+'2. Inputs and results'!$B$101," ")</f>
        <v>11460</v>
      </c>
      <c r="D19" s="4">
        <f>IF(A19&lt;('2. Inputs and results'!$B$21+1),D18+C19,NA())</f>
        <v>160440</v>
      </c>
      <c r="E19" s="4">
        <f>IF(B19&lt;('2. Inputs and results'!$B$21+1),C19/((1+$P$2)^A19)," ")</f>
        <v>6617.8644491378946</v>
      </c>
      <c r="F19" s="4">
        <f>IF(A19&lt;('2. Inputs and results'!$B$21+1),F18+E19," ")</f>
        <v>121053.38877155249</v>
      </c>
      <c r="G19" s="4">
        <f>IF(A19&lt;('2. Inputs and results'!$B$21+1),G18*(1+'2. Inputs and results'!$B$44)," ")</f>
        <v>17181.844447383308</v>
      </c>
      <c r="H19" s="4">
        <f>IF(A19&lt;('2. Inputs and results'!$B$21+1),H18*(1+'2. Inputs and results'!$B$56)," ")</f>
        <v>0</v>
      </c>
      <c r="I19" s="4">
        <f>IF(A19&lt;('2. Inputs and results'!$B$21+1),I18*(1+'2. Inputs and results'!$B$32)," ")</f>
        <v>-352.44809122837552</v>
      </c>
      <c r="J19" s="4">
        <f>IF(A19&lt;('2. Inputs and results'!$B$21+1),J18*(1+'2. Inputs and results'!$B$66)," ")</f>
        <v>0</v>
      </c>
      <c r="K19" s="4">
        <f>IF('Solution 1, (hidden)'!A19&lt;('2. Inputs and results'!$B$21+1),K18+(G19+I19+H19+J19),NA())</f>
        <v>195809.27489465251</v>
      </c>
      <c r="L19" s="4">
        <f>IF(A19&lt;('2. Inputs and results'!$B$21+1),L18,NA())</f>
        <v>156400</v>
      </c>
      <c r="M19" s="4">
        <f>IF(A19&lt;('2. Inputs and results'!$B$21+1),'2. Inputs and results'!$B$75*'2. Inputs and results'!$B$73," ")</f>
        <v>1840</v>
      </c>
      <c r="N19" s="4">
        <f>IF(A19&lt;('2. Inputs and results'!$B$21+1),M19/((1+$P$2)^A19)," ")</f>
        <v>1062.5541523921227</v>
      </c>
      <c r="O19" s="4">
        <f>IF(A19&lt;('2. Inputs and results'!$B$21+1),'2. Inputs and results'!$B$73*'2. Inputs and results'!$B$75+O18," ")</f>
        <v>180320</v>
      </c>
      <c r="P19" s="4">
        <f>IF(A19&lt;('2. Inputs and results'!$B$21+1),(G19+I19+H19+J19)/((1+$P$2)^A19)," ")</f>
        <v>9718.557054611565</v>
      </c>
      <c r="Q19" s="4">
        <f>IF(A19&lt;('2. Inputs and results'!$B$21+1),Q18+P19," ")</f>
        <v>144988.62337500841</v>
      </c>
      <c r="R19" s="4">
        <f>IF(A19&lt;('2. Inputs and results'!$B$21+1),R18+G19+I19+J19+H19+T19-$V$6,NA())</f>
        <v>-14453.362530911443</v>
      </c>
      <c r="S19" s="4">
        <f>IF(A19&lt;('2. Inputs and results'!$B$21+1),'2. Inputs and results'!$B$79*(R18)," ")</f>
        <v>-577.30899778561525</v>
      </c>
      <c r="T19" s="4">
        <f t="shared" si="1"/>
        <v>-577.30899778561525</v>
      </c>
      <c r="U19" s="4">
        <f>IF(A19&lt;('2. Inputs and results'!$B$21+1),U18+(T19+I19+G19+H19+J19-$V$6)/((1+$P$2)^A19),NA())</f>
        <v>-53348.588905785342</v>
      </c>
      <c r="V19" s="4">
        <f>IF(A19&lt;('2. Inputs and results'!$B$21+1),V18+('2. Inputs and results'!$B$75*'2. Inputs and results'!$B$73)," ")</f>
        <v>25760</v>
      </c>
      <c r="W19" s="4">
        <f>IF(A19&lt;('2. Inputs and results'!$B$21+1),W18+C19+Y19-$V$6,NA())</f>
        <v>-52697.193509791701</v>
      </c>
      <c r="X19" s="4">
        <f>IF(A19&lt;('2. Inputs and results'!$B$21+1),'2. Inputs and results'!$B$79*W18," ")</f>
        <v>-1221.9057550939549</v>
      </c>
      <c r="Y19" s="4">
        <f t="shared" si="2"/>
        <v>-1221.9057550939549</v>
      </c>
      <c r="Z19" s="4">
        <f>IF(A19&lt;('2. Inputs and results'!$B$21+1),Z18+(C19-$V$6+Y19)/((1+$P$2)^A19),NA())</f>
        <v>-79134.198650745064</v>
      </c>
      <c r="AA19" s="4">
        <f>IF(A19&lt;('2. Inputs and results'!$B$21+1),AA18+(G19+I19+H19+T19-$V$6)," ")</f>
        <v>141946.6374690886</v>
      </c>
      <c r="AB19" s="20">
        <f>IF(A19&lt;('2. Inputs and results'!$B$21+1),AA19/L19,NA())</f>
        <v>0.90758719609391691</v>
      </c>
      <c r="AC19" s="29">
        <f>IF(A19&lt;('2. Inputs and results'!$B$21+1),AC18+(C19+Y19-$V$6)," ")</f>
        <v>103702.80649020831</v>
      </c>
      <c r="AD19" s="20">
        <f>IF(A19&lt;('2. Inputs and results'!$B$21+1),AC19/L19,NA())</f>
        <v>0.66306142257166445</v>
      </c>
      <c r="AE19">
        <f>IF(A19&lt;('2. Inputs and results'!$B$21+1),-'2. Inputs and results'!$B$121*A19," ")</f>
        <v>-285600</v>
      </c>
      <c r="AF19">
        <f>IF(A19&lt;('2. Inputs and results'!$B$21+1),AE19/1000,NA())</f>
        <v>-285.60000000000002</v>
      </c>
    </row>
    <row r="20" spans="1:32" x14ac:dyDescent="0.25">
      <c r="A20">
        <f t="shared" si="0"/>
        <v>15</v>
      </c>
      <c r="B20">
        <f>IF(A20&lt;('2. Inputs and results'!$B$21+1),A20," ")</f>
        <v>15</v>
      </c>
      <c r="C20" s="4">
        <f>IF(A20&lt;('2. Inputs and results'!$B$21+1),'2. Inputs and results'!$B$99+'2. Inputs and results'!$B$101," ")</f>
        <v>11460</v>
      </c>
      <c r="D20" s="4">
        <f>IF(A20&lt;('2. Inputs and results'!$B$21+1),D19+C20,NA())</f>
        <v>171900</v>
      </c>
      <c r="E20" s="4">
        <f>IF(B20&lt;('2. Inputs and results'!$B$21+1),C20/((1+$P$2)^A20)," ")</f>
        <v>6363.331201094129</v>
      </c>
      <c r="F20" s="4">
        <f>IF(A20&lt;('2. Inputs and results'!$B$21+1),F19+E20," ")</f>
        <v>127416.71997264662</v>
      </c>
      <c r="G20" s="4">
        <f>IF(A20&lt;('2. Inputs and results'!$B$21+1),G19*(1+'2. Inputs and results'!$B$44)," ")</f>
        <v>17697.299780804806</v>
      </c>
      <c r="H20" s="4">
        <f>IF(A20&lt;('2. Inputs and results'!$B$21+1),H19*(1+'2. Inputs and results'!$B$56)," ")</f>
        <v>0</v>
      </c>
      <c r="I20" s="4">
        <f>IF(A20&lt;('2. Inputs and results'!$B$21+1),I19*(1+'2. Inputs and results'!$B$32)," ")</f>
        <v>-363.02153396522681</v>
      </c>
      <c r="J20" s="4">
        <f>IF(A20&lt;('2. Inputs and results'!$B$21+1),J19*(1+'2. Inputs and results'!$B$66)," ")</f>
        <v>0</v>
      </c>
      <c r="K20" s="4">
        <f>IF('Solution 1, (hidden)'!A20&lt;('2. Inputs and results'!$B$21+1),K19+(G20+I20+H20+J20),NA())</f>
        <v>213143.5531414921</v>
      </c>
      <c r="L20" s="4">
        <f>IF(A20&lt;('2. Inputs and results'!$B$21+1),L19,NA())</f>
        <v>156400</v>
      </c>
      <c r="M20" s="4">
        <f>IF(A20&lt;('2. Inputs and results'!$B$21+1),'2. Inputs and results'!$B$75*'2. Inputs and results'!$B$73," ")</f>
        <v>1840</v>
      </c>
      <c r="N20" s="4">
        <f>IF(A20&lt;('2. Inputs and results'!$B$21+1),M20/((1+$P$2)^A20)," ")</f>
        <v>1021.6866849924256</v>
      </c>
      <c r="O20" s="4">
        <f>IF(A20&lt;('2. Inputs and results'!$B$21+1),'2. Inputs and results'!$B$73*'2. Inputs and results'!$B$75+O19," ")</f>
        <v>182160</v>
      </c>
      <c r="P20" s="4">
        <f>IF(A20&lt;('2. Inputs and results'!$B$21+1),(G20+I20+H20+J20)/((1+$P$2)^A20)," ")</f>
        <v>9625.1093906249152</v>
      </c>
      <c r="Q20" s="4">
        <f>IF(A20&lt;('2. Inputs and results'!$B$21+1),Q19+P20," ")</f>
        <v>154613.73276563332</v>
      </c>
      <c r="R20" s="4">
        <f>IF(A20&lt;('2. Inputs and results'!$B$21+1),R19+G20+I20+J20+H20+T20-$V$6,NA())</f>
        <v>751.84846530990671</v>
      </c>
      <c r="S20" s="4">
        <f>IF(A20&lt;('2. Inputs and results'!$B$21+1),'2. Inputs and results'!$B$79*(R19)," ")</f>
        <v>-289.06725061822885</v>
      </c>
      <c r="T20" s="4">
        <f t="shared" si="1"/>
        <v>-289.06725061822885</v>
      </c>
      <c r="U20" s="4">
        <f>IF(A20&lt;('2. Inputs and results'!$B$21+1),U19+(T20+I20+G20+H20+J20-$V$6)/((1+$P$2)^A20),NA())</f>
        <v>-44905.67498331808</v>
      </c>
      <c r="V20" s="4">
        <f>IF(A20&lt;('2. Inputs and results'!$B$21+1),V19+('2. Inputs and results'!$B$75*'2. Inputs and results'!$B$73)," ")</f>
        <v>27600</v>
      </c>
      <c r="W20" s="4">
        <f>IF(A20&lt;('2. Inputs and results'!$B$21+1),W19+C20+Y20-$V$6,NA())</f>
        <v>-44131.137379987536</v>
      </c>
      <c r="X20" s="4">
        <f>IF(A20&lt;('2. Inputs and results'!$B$21+1),'2. Inputs and results'!$B$79*W19," ")</f>
        <v>-1053.9438701958341</v>
      </c>
      <c r="Y20" s="4">
        <f t="shared" si="2"/>
        <v>-1053.9438701958341</v>
      </c>
      <c r="Z20" s="4">
        <f>IF(A20&lt;('2. Inputs and results'!$B$21+1),Z19+(C20-$V$6+Y20)/((1+$P$2)^A20),NA())</f>
        <v>-74377.77175361535</v>
      </c>
      <c r="AA20" s="4">
        <f>IF(A20&lt;('2. Inputs and results'!$B$21+1),AA19+(G20+I20+H20+T20-$V$6)," ")</f>
        <v>157151.84846530994</v>
      </c>
      <c r="AB20" s="20">
        <f>IF(A20&lt;('2. Inputs and results'!$B$21+1),AA20/L20,NA())</f>
        <v>1.0048072152513423</v>
      </c>
      <c r="AC20" s="29">
        <f>IF(A20&lt;('2. Inputs and results'!$B$21+1),AC19+(C20+Y20-$V$6)," ")</f>
        <v>112268.86262001249</v>
      </c>
      <c r="AD20" s="20">
        <f>IF(A20&lt;('2. Inputs and results'!$B$21+1),AC20/L20,NA())</f>
        <v>0.71783160242974731</v>
      </c>
      <c r="AE20">
        <f>IF(A20&lt;('2. Inputs and results'!$B$21+1),-'2. Inputs and results'!$B$121*A20," ")</f>
        <v>-306000</v>
      </c>
      <c r="AF20">
        <f>IF(A20&lt;('2. Inputs and results'!$B$21+1),AE20/1000,NA())</f>
        <v>-306</v>
      </c>
    </row>
    <row r="21" spans="1:32" x14ac:dyDescent="0.25">
      <c r="A21">
        <f t="shared" si="0"/>
        <v>16</v>
      </c>
      <c r="B21">
        <f>IF(A21&lt;('2. Inputs and results'!$B$21+1),A21," ")</f>
        <v>16</v>
      </c>
      <c r="C21" s="4">
        <f>IF(A21&lt;('2. Inputs and results'!$B$21+1),'2. Inputs and results'!$B$99+'2. Inputs and results'!$B$101," ")</f>
        <v>11460</v>
      </c>
      <c r="D21" s="4">
        <f>IF(A21&lt;('2. Inputs and results'!$B$21+1),D20+C21,NA())</f>
        <v>183360</v>
      </c>
      <c r="E21" s="4">
        <f>IF(B21&lt;('2. Inputs and results'!$B$21+1),C21/((1+$P$2)^A21)," ")</f>
        <v>6118.5876933597383</v>
      </c>
      <c r="F21" s="4">
        <f>IF(A21&lt;('2. Inputs and results'!$B$21+1),F20+E21," ")</f>
        <v>133535.30766600635</v>
      </c>
      <c r="G21" s="4">
        <f>IF(A21&lt;('2. Inputs and results'!$B$21+1),G20*(1+'2. Inputs and results'!$B$44)," ")</f>
        <v>18228.21877422895</v>
      </c>
      <c r="H21" s="4">
        <f>IF(A21&lt;('2. Inputs and results'!$B$21+1),H20*(1+'2. Inputs and results'!$B$56)," ")</f>
        <v>0</v>
      </c>
      <c r="I21" s="4">
        <f>IF(A21&lt;('2. Inputs and results'!$B$21+1),I20*(1+'2. Inputs and results'!$B$32)," ")</f>
        <v>-373.91217998418364</v>
      </c>
      <c r="J21" s="4">
        <f>IF(A21&lt;('2. Inputs and results'!$B$21+1),J20*(1+'2. Inputs and results'!$B$66)," ")</f>
        <v>0</v>
      </c>
      <c r="K21" s="4">
        <f>IF('Solution 1, (hidden)'!A21&lt;('2. Inputs and results'!$B$21+1),K20+(G21+I21+H21+J21),NA())</f>
        <v>230997.85973573686</v>
      </c>
      <c r="L21" s="4">
        <f>IF(A21&lt;('2. Inputs and results'!$B$21+1),L20,NA())</f>
        <v>156400</v>
      </c>
      <c r="M21" s="4">
        <f>IF(A21&lt;('2. Inputs and results'!$B$21+1),'2. Inputs and results'!$B$75*'2. Inputs and results'!$B$73," ")</f>
        <v>1840</v>
      </c>
      <c r="N21" s="4">
        <f>IF(A21&lt;('2. Inputs and results'!$B$21+1),M21/((1+$P$2)^A21)," ")</f>
        <v>982.39104326194752</v>
      </c>
      <c r="O21" s="4">
        <f>IF(A21&lt;('2. Inputs and results'!$B$21+1),'2. Inputs and results'!$B$73*'2. Inputs and results'!$B$75+O20," ")</f>
        <v>184000</v>
      </c>
      <c r="P21" s="4">
        <f>IF(A21&lt;('2. Inputs and results'!$B$21+1),(G21+I21+H21+J21)/((1+$P$2)^A21)," ")</f>
        <v>9532.5602618689045</v>
      </c>
      <c r="Q21" s="4">
        <f>IF(A21&lt;('2. Inputs and results'!$B$21+1),Q20+P21," ")</f>
        <v>164146.29302750222</v>
      </c>
      <c r="R21" s="4">
        <f>IF(A21&lt;('2. Inputs and results'!$B$21+1),R20+G21+I21+J21+H21+T21-$V$6,NA())</f>
        <v>16766.155059554672</v>
      </c>
      <c r="S21" s="4">
        <f>IF(A21&lt;('2. Inputs and results'!$B$21+1),'2. Inputs and results'!$B$79*(R20)," ")</f>
        <v>15.036969306198134</v>
      </c>
      <c r="T21" s="4">
        <f t="shared" si="1"/>
        <v>0</v>
      </c>
      <c r="U21" s="4">
        <f>IF(A21&lt;('2. Inputs and results'!$B$21+1),U20+(T21+I21+G21+H21+J21-$V$6)/((1+$P$2)^A21),NA())</f>
        <v>-36355.505764711124</v>
      </c>
      <c r="V21" s="4">
        <f>IF(A21&lt;('2. Inputs and results'!$B$21+1),V20+('2. Inputs and results'!$B$75*'2. Inputs and results'!$B$73)," ")</f>
        <v>29440</v>
      </c>
      <c r="W21" s="4">
        <f>IF(A21&lt;('2. Inputs and results'!$B$21+1),W20+C21+Y21-$V$6,NA())</f>
        <v>-35393.760127587288</v>
      </c>
      <c r="X21" s="4">
        <f>IF(A21&lt;('2. Inputs and results'!$B$21+1),'2. Inputs and results'!$B$79*W20," ")</f>
        <v>-882.62274759975071</v>
      </c>
      <c r="Y21" s="4">
        <f t="shared" si="2"/>
        <v>-882.62274759975071</v>
      </c>
      <c r="Z21" s="4">
        <f>IF(A21&lt;('2. Inputs and results'!$B$21+1),Z20+(C21-$V$6+Y21)/((1+$P$2)^A21),NA())</f>
        <v>-69712.814604507366</v>
      </c>
      <c r="AA21" s="4">
        <f>IF(A21&lt;('2. Inputs and results'!$B$21+1),AA20+(G21+I21+H21+T21-$V$6)," ")</f>
        <v>173166.1550595547</v>
      </c>
      <c r="AB21" s="20">
        <f>IF(A21&lt;('2. Inputs and results'!$B$21+1),AA21/L21,NA())</f>
        <v>1.1072004799204265</v>
      </c>
      <c r="AC21" s="29">
        <f>IF(A21&lt;('2. Inputs and results'!$B$21+1),AC20+(C21+Y21-$V$6)," ")</f>
        <v>121006.23987241273</v>
      </c>
      <c r="AD21" s="20">
        <f>IF(A21&lt;('2. Inputs and results'!$B$21+1),AC21/L21,NA())</f>
        <v>0.77369718588499181</v>
      </c>
      <c r="AE21">
        <f>IF(A21&lt;('2. Inputs and results'!$B$21+1),-'2. Inputs and results'!$B$121*A21," ")</f>
        <v>-326400</v>
      </c>
      <c r="AF21">
        <f>IF(A21&lt;('2. Inputs and results'!$B$21+1),AE21/1000,NA())</f>
        <v>-326.39999999999998</v>
      </c>
    </row>
    <row r="22" spans="1:32" x14ac:dyDescent="0.25">
      <c r="A22">
        <f t="shared" si="0"/>
        <v>17</v>
      </c>
      <c r="B22">
        <f>IF(A22&lt;('2. Inputs and results'!$B$21+1),A22," ")</f>
        <v>17</v>
      </c>
      <c r="C22" s="4">
        <f>IF(A22&lt;('2. Inputs and results'!$B$21+1),'2. Inputs and results'!$B$99+'2. Inputs and results'!$B$101," ")</f>
        <v>11460</v>
      </c>
      <c r="D22" s="4">
        <f>IF(A22&lt;('2. Inputs and results'!$B$21+1),D21+C22,NA())</f>
        <v>194820</v>
      </c>
      <c r="E22" s="4">
        <f>IF(B22&lt;('2. Inputs and results'!$B$21+1),C22/((1+$P$2)^A22)," ")</f>
        <v>5883.2573974612869</v>
      </c>
      <c r="F22" s="4">
        <f>IF(A22&lt;('2. Inputs and results'!$B$21+1),F21+E22," ")</f>
        <v>139418.56506346763</v>
      </c>
      <c r="G22" s="4">
        <f>IF(A22&lt;('2. Inputs and results'!$B$21+1),G21*(1+'2. Inputs and results'!$B$44)," ")</f>
        <v>18775.065337455821</v>
      </c>
      <c r="H22" s="4">
        <f>IF(A22&lt;('2. Inputs and results'!$B$21+1),H21*(1+'2. Inputs and results'!$B$56)," ")</f>
        <v>0</v>
      </c>
      <c r="I22" s="4">
        <f>IF(A22&lt;('2. Inputs and results'!$B$21+1),I21*(1+'2. Inputs and results'!$B$32)," ")</f>
        <v>-385.12954538370917</v>
      </c>
      <c r="J22" s="4">
        <f>IF(A22&lt;('2. Inputs and results'!$B$21+1),J21*(1+'2. Inputs and results'!$B$66)," ")</f>
        <v>0</v>
      </c>
      <c r="K22" s="4">
        <f>IF('Solution 1, (hidden)'!A22&lt;('2. Inputs and results'!$B$21+1),K21+(G22+I22+H22+J22),NA())</f>
        <v>249387.79552780898</v>
      </c>
      <c r="L22" s="4">
        <f>IF(A22&lt;('2. Inputs and results'!$B$21+1),L21,NA())</f>
        <v>156400</v>
      </c>
      <c r="M22" s="4">
        <f>IF(A22&lt;('2. Inputs and results'!$B$21+1),'2. Inputs and results'!$B$75*'2. Inputs and results'!$B$73," ")</f>
        <v>1840</v>
      </c>
      <c r="N22" s="4">
        <f>IF(A22&lt;('2. Inputs and results'!$B$21+1),M22/((1+$P$2)^A22)," ")</f>
        <v>944.60677236725724</v>
      </c>
      <c r="O22" s="4">
        <f>IF(A22&lt;('2. Inputs and results'!$B$21+1),'2. Inputs and results'!$B$73*'2. Inputs and results'!$B$75+O21," ")</f>
        <v>185840</v>
      </c>
      <c r="P22" s="4">
        <f>IF(A22&lt;('2. Inputs and results'!$B$21+1),(G22+I22+H22+J22)/((1+$P$2)^A22)," ")</f>
        <v>9440.9010285817058</v>
      </c>
      <c r="Q22" s="4">
        <f>IF(A22&lt;('2. Inputs and results'!$B$21+1),Q21+P22," ")</f>
        <v>173587.19405608391</v>
      </c>
      <c r="R22" s="4">
        <f>IF(A22&lt;('2. Inputs and results'!$B$21+1),R21+G22+I22+J22+H22+T22-$V$6,NA())</f>
        <v>33316.090851626781</v>
      </c>
      <c r="S22" s="4">
        <f>IF(A22&lt;('2. Inputs and results'!$B$21+1),'2. Inputs and results'!$B$79*(R21)," ")</f>
        <v>335.32310119109343</v>
      </c>
      <c r="T22" s="4">
        <f t="shared" si="1"/>
        <v>0</v>
      </c>
      <c r="U22" s="4">
        <f>IF(A22&lt;('2. Inputs and results'!$B$21+1),U21+(T22+I22+G22+H22+J22-$V$6)/((1+$P$2)^A22),NA())</f>
        <v>-27859.211508496675</v>
      </c>
      <c r="V22" s="4">
        <f>IF(A22&lt;('2. Inputs and results'!$B$21+1),V21+('2. Inputs and results'!$B$75*'2. Inputs and results'!$B$73)," ")</f>
        <v>31280</v>
      </c>
      <c r="W22" s="4">
        <f>IF(A22&lt;('2. Inputs and results'!$B$21+1),W21+C22+Y22-$V$6,NA())</f>
        <v>-26481.635330139034</v>
      </c>
      <c r="X22" s="4">
        <f>IF(A22&lt;('2. Inputs and results'!$B$21+1),'2. Inputs and results'!$B$79*W21," ")</f>
        <v>-707.87520255174582</v>
      </c>
      <c r="Y22" s="4">
        <f t="shared" si="2"/>
        <v>-707.87520255174582</v>
      </c>
      <c r="Z22" s="4">
        <f>IF(A22&lt;('2. Inputs and results'!$B$21+1),Z21+(C22-$V$6+Y22)/((1+$P$2)^A22),NA())</f>
        <v>-65137.568169805309</v>
      </c>
      <c r="AA22" s="4">
        <f>IF(A22&lt;('2. Inputs and results'!$B$21+1),AA21+(G22+I22+H22+T22-$V$6)," ")</f>
        <v>189716.09085162682</v>
      </c>
      <c r="AB22" s="20">
        <f>IF(A22&lt;('2. Inputs and results'!$B$21+1),AA22/L22,NA())</f>
        <v>1.2130184837060538</v>
      </c>
      <c r="AC22" s="29">
        <f>IF(A22&lt;('2. Inputs and results'!$B$21+1),AC21+(C22+Y22-$V$6)," ")</f>
        <v>129918.36466986098</v>
      </c>
      <c r="AD22" s="20">
        <f>IF(A22&lt;('2. Inputs and results'!$B$21+1),AC22/L22,NA())</f>
        <v>0.83068008100934132</v>
      </c>
      <c r="AE22">
        <f>IF(A22&lt;('2. Inputs and results'!$B$21+1),-'2. Inputs and results'!$B$121*A22," ")</f>
        <v>-346800</v>
      </c>
      <c r="AF22">
        <f>IF(A22&lt;('2. Inputs and results'!$B$21+1),AE22/1000,NA())</f>
        <v>-346.8</v>
      </c>
    </row>
    <row r="23" spans="1:32" x14ac:dyDescent="0.25">
      <c r="A23">
        <f t="shared" si="0"/>
        <v>18</v>
      </c>
      <c r="B23">
        <f>IF(A23&lt;('2. Inputs and results'!$B$21+1),A23," ")</f>
        <v>18</v>
      </c>
      <c r="C23" s="4">
        <f>IF(A23&lt;('2. Inputs and results'!$B$21+1),'2. Inputs and results'!$B$99+'2. Inputs and results'!$B$101," ")</f>
        <v>11460</v>
      </c>
      <c r="D23" s="4">
        <f>IF(A23&lt;('2. Inputs and results'!$B$21+1),D22+C23,NA())</f>
        <v>206280</v>
      </c>
      <c r="E23" s="4">
        <f>IF(B23&lt;('2. Inputs and results'!$B$21+1),C23/((1+$P$2)^A23)," ")</f>
        <v>5656.978266789698</v>
      </c>
      <c r="F23" s="4">
        <f>IF(A23&lt;('2. Inputs and results'!$B$21+1),F22+E23," ")</f>
        <v>145075.54333025732</v>
      </c>
      <c r="G23" s="4">
        <f>IF(A23&lt;('2. Inputs and results'!$B$21+1),G22*(1+'2. Inputs and results'!$B$44)," ")</f>
        <v>19338.317297579495</v>
      </c>
      <c r="H23" s="4">
        <f>IF(A23&lt;('2. Inputs and results'!$B$21+1),H22*(1+'2. Inputs and results'!$B$56)," ")</f>
        <v>0</v>
      </c>
      <c r="I23" s="4">
        <f>IF(A23&lt;('2. Inputs and results'!$B$21+1),I22*(1+'2. Inputs and results'!$B$32)," ")</f>
        <v>-396.68343174522045</v>
      </c>
      <c r="J23" s="4">
        <f>IF(A23&lt;('2. Inputs and results'!$B$21+1),J22*(1+'2. Inputs and results'!$B$66)," ")</f>
        <v>0</v>
      </c>
      <c r="K23" s="4">
        <f>IF('Solution 1, (hidden)'!A23&lt;('2. Inputs and results'!$B$21+1),K22+(G23+I23+H23+J23),NA())</f>
        <v>268329.42939364328</v>
      </c>
      <c r="L23" s="4">
        <f>IF(A23&lt;('2. Inputs and results'!$B$21+1),L22,NA())</f>
        <v>156400</v>
      </c>
      <c r="M23" s="4">
        <f>IF(A23&lt;('2. Inputs and results'!$B$21+1),'2. Inputs and results'!$B$75*'2. Inputs and results'!$B$73," ")</f>
        <v>1840</v>
      </c>
      <c r="N23" s="4">
        <f>IF(A23&lt;('2. Inputs and results'!$B$21+1),M23/((1+$P$2)^A23)," ")</f>
        <v>908.27574266082422</v>
      </c>
      <c r="O23" s="4">
        <f>IF(A23&lt;('2. Inputs and results'!$B$21+1),'2. Inputs and results'!$B$73*'2. Inputs and results'!$B$75+O22," ")</f>
        <v>187680</v>
      </c>
      <c r="P23" s="4">
        <f>IF(A23&lt;('2. Inputs and results'!$B$21+1),(G23+I23+H23+J23)/((1+$P$2)^A23)," ")</f>
        <v>9350.1231340761115</v>
      </c>
      <c r="Q23" s="4">
        <f>IF(A23&lt;('2. Inputs and results'!$B$21+1),Q22+P23," ")</f>
        <v>182937.31719016001</v>
      </c>
      <c r="R23" s="4">
        <f>IF(A23&lt;('2. Inputs and results'!$B$21+1),R22+G23+I23+J23+H23+T23-$V$6,NA())</f>
        <v>50417.724717461053</v>
      </c>
      <c r="S23" s="4">
        <f>IF(A23&lt;('2. Inputs and results'!$B$21+1),'2. Inputs and results'!$B$79*(R22)," ")</f>
        <v>666.32181703253559</v>
      </c>
      <c r="T23" s="4">
        <f t="shared" si="1"/>
        <v>0</v>
      </c>
      <c r="U23" s="4">
        <f>IF(A23&lt;('2. Inputs and results'!$B$21+1),U22+(T23+I23+G23+H23+J23-$V$6)/((1+$P$2)^A23),NA())</f>
        <v>-19417.364117081386</v>
      </c>
      <c r="V23" s="4">
        <f>IF(A23&lt;('2. Inputs and results'!$B$21+1),V22+('2. Inputs and results'!$B$75*'2. Inputs and results'!$B$73)," ")</f>
        <v>33120</v>
      </c>
      <c r="W23" s="4">
        <f>IF(A23&lt;('2. Inputs and results'!$B$21+1),W22+C23+Y23-$V$6,NA())</f>
        <v>-17391.268036741814</v>
      </c>
      <c r="X23" s="4">
        <f>IF(A23&lt;('2. Inputs and results'!$B$21+1),'2. Inputs and results'!$B$79*W22," ")</f>
        <v>-529.63270660278067</v>
      </c>
      <c r="Y23" s="4">
        <f t="shared" si="2"/>
        <v>-529.63270660278067</v>
      </c>
      <c r="Z23" s="4">
        <f>IF(A23&lt;('2. Inputs and results'!$B$21+1),Z22+(C23-$V$6+Y23)/((1+$P$2)^A23),NA())</f>
        <v>-60650.307243462899</v>
      </c>
      <c r="AA23" s="4">
        <f>IF(A23&lt;('2. Inputs and results'!$B$21+1),AA22+(G23+I23+H23+T23-$V$6)," ")</f>
        <v>206817.7247174611</v>
      </c>
      <c r="AB23" s="20">
        <f>IF(A23&lt;('2. Inputs and results'!$B$21+1),AA23/L23,NA())</f>
        <v>1.3223639687817206</v>
      </c>
      <c r="AC23" s="29">
        <f>IF(A23&lt;('2. Inputs and results'!$B$21+1),AC22+(C23+Y23-$V$6)," ")</f>
        <v>139008.73196325821</v>
      </c>
      <c r="AD23" s="20">
        <f>IF(A23&lt;('2. Inputs and results'!$B$21+1),AC23/L23,NA())</f>
        <v>0.88880263403617776</v>
      </c>
      <c r="AE23">
        <f>IF(A23&lt;('2. Inputs and results'!$B$21+1),-'2. Inputs and results'!$B$121*A23," ")</f>
        <v>-367200</v>
      </c>
      <c r="AF23">
        <f>IF(A23&lt;('2. Inputs and results'!$B$21+1),AE23/1000,NA())</f>
        <v>-367.2</v>
      </c>
    </row>
    <row r="24" spans="1:32" x14ac:dyDescent="0.25">
      <c r="A24">
        <f t="shared" si="0"/>
        <v>19</v>
      </c>
      <c r="B24">
        <f>IF(A24&lt;('2. Inputs and results'!$B$21+1),A24," ")</f>
        <v>19</v>
      </c>
      <c r="C24" s="4">
        <f>IF(A24&lt;('2. Inputs and results'!$B$21+1),'2. Inputs and results'!$B$99+'2. Inputs and results'!$B$101," ")</f>
        <v>11460</v>
      </c>
      <c r="D24" s="4">
        <f>IF(A24&lt;('2. Inputs and results'!$B$21+1),D23+C24,NA())</f>
        <v>217740</v>
      </c>
      <c r="E24" s="4">
        <f>IF(B24&lt;('2. Inputs and results'!$B$21+1),C24/((1+$P$2)^A24)," ")</f>
        <v>5439.4021796054794</v>
      </c>
      <c r="F24" s="4">
        <f>IF(A24&lt;('2. Inputs and results'!$B$21+1),F23+E24," ")</f>
        <v>150514.9455098628</v>
      </c>
      <c r="G24" s="4">
        <f>IF(A24&lt;('2. Inputs and results'!$B$21+1),G23*(1+'2. Inputs and results'!$B$44)," ")</f>
        <v>19918.46681650688</v>
      </c>
      <c r="H24" s="4">
        <f>IF(A24&lt;('2. Inputs and results'!$B$21+1),H23*(1+'2. Inputs and results'!$B$56)," ")</f>
        <v>0</v>
      </c>
      <c r="I24" s="4">
        <f>IF(A24&lt;('2. Inputs and results'!$B$21+1),I23*(1+'2. Inputs and results'!$B$32)," ")</f>
        <v>-408.58393469757709</v>
      </c>
      <c r="J24" s="4">
        <f>IF(A24&lt;('2. Inputs and results'!$B$21+1),J23*(1+'2. Inputs and results'!$B$66)," ")</f>
        <v>0</v>
      </c>
      <c r="K24" s="4">
        <f>IF('Solution 1, (hidden)'!A24&lt;('2. Inputs and results'!$B$21+1),K23+(G24+I24+H24+J24),NA())</f>
        <v>287839.3122754526</v>
      </c>
      <c r="L24" s="4">
        <f>IF(A24&lt;('2. Inputs and results'!$B$21+1),L23,NA())</f>
        <v>156400</v>
      </c>
      <c r="M24" s="4">
        <f>IF(A24&lt;('2. Inputs and results'!$B$21+1),'2. Inputs and results'!$B$75*'2. Inputs and results'!$B$73," ")</f>
        <v>1840</v>
      </c>
      <c r="N24" s="4">
        <f>IF(A24&lt;('2. Inputs and results'!$B$21+1),M24/((1+$P$2)^A24)," ")</f>
        <v>873.34206025079254</v>
      </c>
      <c r="O24" s="4">
        <f>IF(A24&lt;('2. Inputs and results'!$B$21+1),'2. Inputs and results'!$B$73*'2. Inputs and results'!$B$75+O23," ")</f>
        <v>189520</v>
      </c>
      <c r="P24" s="4">
        <f>IF(A24&lt;('2. Inputs and results'!$B$21+1),(G24+I24+H24+J24)/((1+$P$2)^A24)," ")</f>
        <v>9260.2181039407642</v>
      </c>
      <c r="Q24" s="4">
        <f>IF(A24&lt;('2. Inputs and results'!$B$21+1),Q23+P24," ")</f>
        <v>192197.53529410079</v>
      </c>
      <c r="R24" s="4">
        <f>IF(A24&lt;('2. Inputs and results'!$B$21+1),R23+G24+I24+J24+H24+T24-$V$6,NA())</f>
        <v>68087.60759927037</v>
      </c>
      <c r="S24" s="4">
        <f>IF(A24&lt;('2. Inputs and results'!$B$21+1),'2. Inputs and results'!$B$79*(R23)," ")</f>
        <v>1008.3544943492211</v>
      </c>
      <c r="T24" s="4">
        <f t="shared" si="1"/>
        <v>0</v>
      </c>
      <c r="U24" s="4">
        <f>IF(A24&lt;('2. Inputs and results'!$B$21+1),U23+(T24+I24+G24+H24+J24-$V$6)/((1+$P$2)^A24),NA())</f>
        <v>-11030.488073391414</v>
      </c>
      <c r="V24" s="4">
        <f>IF(A24&lt;('2. Inputs and results'!$B$21+1),V23+('2. Inputs and results'!$B$75*'2. Inputs and results'!$B$73)," ")</f>
        <v>34960</v>
      </c>
      <c r="W24" s="4">
        <f>IF(A24&lt;('2. Inputs and results'!$B$21+1),W23+C24+Y24-$V$6,NA())</f>
        <v>-8119.0933974766504</v>
      </c>
      <c r="X24" s="4">
        <f>IF(A24&lt;('2. Inputs and results'!$B$21+1),'2. Inputs and results'!$B$79*W23," ")</f>
        <v>-347.82536073483629</v>
      </c>
      <c r="Y24" s="4">
        <f t="shared" si="2"/>
        <v>-347.82536073483629</v>
      </c>
      <c r="Z24" s="4">
        <f>IF(A24&lt;('2. Inputs and results'!$B$21+1),Z23+(C24-$V$6+Y24)/((1+$P$2)^A24),NA())</f>
        <v>-56249.339796473228</v>
      </c>
      <c r="AA24" s="4">
        <f>IF(A24&lt;('2. Inputs and results'!$B$21+1),AA23+(G24+I24+H24+T24-$V$6)," ")</f>
        <v>224487.60759927041</v>
      </c>
      <c r="AB24" s="20">
        <f>IF(A24&lt;('2. Inputs and results'!$B$21+1),AA24/L24,NA())</f>
        <v>1.4353427595861279</v>
      </c>
      <c r="AC24" s="29">
        <f>IF(A24&lt;('2. Inputs and results'!$B$21+1),AC23+(C24+Y24-$V$6)," ")</f>
        <v>148280.90660252338</v>
      </c>
      <c r="AD24" s="20">
        <f>IF(A24&lt;('2. Inputs and results'!$B$21+1),AC24/L24,NA())</f>
        <v>0.94808763812355101</v>
      </c>
      <c r="AE24">
        <f>IF(A24&lt;('2. Inputs and results'!$B$21+1),-'2. Inputs and results'!$B$121*A24," ")</f>
        <v>-387600</v>
      </c>
      <c r="AF24">
        <f>IF(A24&lt;('2. Inputs and results'!$B$21+1),AE24/1000,NA())</f>
        <v>-387.6</v>
      </c>
    </row>
    <row r="25" spans="1:32" x14ac:dyDescent="0.25">
      <c r="A25">
        <f t="shared" si="0"/>
        <v>20</v>
      </c>
      <c r="B25">
        <f>IF(A25&lt;('2. Inputs and results'!$B$21+1),A25," ")</f>
        <v>20</v>
      </c>
      <c r="C25" s="4">
        <f>IF(A25&lt;('2. Inputs and results'!$B$21+1),'2. Inputs and results'!$B$99+'2. Inputs and results'!$B$101," ")</f>
        <v>11460</v>
      </c>
      <c r="D25" s="4">
        <f>IF(A25&lt;('2. Inputs and results'!$B$21+1),D24+C25,NA())</f>
        <v>229200</v>
      </c>
      <c r="E25" s="4">
        <f>IF(B25&lt;('2. Inputs and results'!$B$21+1),C25/((1+$P$2)^A25)," ")</f>
        <v>5230.1944034668068</v>
      </c>
      <c r="F25" s="4">
        <f>IF(A25&lt;('2. Inputs and results'!$B$21+1),F24+E25," ")</f>
        <v>155745.13991332959</v>
      </c>
      <c r="G25" s="4">
        <f>IF(A25&lt;('2. Inputs and results'!$B$21+1),G24*(1+'2. Inputs and results'!$B$44)," ")</f>
        <v>20516.020821002086</v>
      </c>
      <c r="H25" s="4">
        <f>IF(A25&lt;('2. Inputs and results'!$B$21+1),H24*(1+'2. Inputs and results'!$B$56)," ")</f>
        <v>0</v>
      </c>
      <c r="I25" s="4">
        <f>IF(A25&lt;('2. Inputs and results'!$B$21+1),I24*(1+'2. Inputs and results'!$B$32)," ")</f>
        <v>-420.84145273850442</v>
      </c>
      <c r="J25" s="4">
        <f>IF(A25&lt;('2. Inputs and results'!$B$21+1),J24*(1+'2. Inputs and results'!$B$66)," ")</f>
        <v>0</v>
      </c>
      <c r="K25" s="4">
        <f>IF('Solution 1, (hidden)'!A25&lt;('2. Inputs and results'!$B$21+1),K24+(G25+I25+H25+J25),NA())</f>
        <v>307934.49164371617</v>
      </c>
      <c r="L25" s="4">
        <f>IF(A25&lt;('2. Inputs and results'!$B$21+1),L24,NA())</f>
        <v>156400</v>
      </c>
      <c r="M25" s="4">
        <f>IF(A25&lt;('2. Inputs and results'!$B$21+1),'2. Inputs and results'!$B$75*'2. Inputs and results'!$B$73," ")</f>
        <v>1840</v>
      </c>
      <c r="N25" s="4">
        <f>IF(A25&lt;('2. Inputs and results'!$B$21+1),M25/((1+$P$2)^A25)," ")</f>
        <v>839.75198101037745</v>
      </c>
      <c r="O25" s="4">
        <f>IF(A25&lt;('2. Inputs and results'!$B$21+1),'2. Inputs and results'!$B$73*'2. Inputs and results'!$B$75+O24," ")</f>
        <v>191360</v>
      </c>
      <c r="P25" s="4">
        <f>IF(A25&lt;('2. Inputs and results'!$B$21+1),(G25+I25+H25+J25)/((1+$P$2)^A25)," ")</f>
        <v>9171.1775452490256</v>
      </c>
      <c r="Q25" s="4">
        <f>IF(A25&lt;('2. Inputs and results'!$B$21+1),Q24+P25," ")</f>
        <v>201368.71283934981</v>
      </c>
      <c r="R25" s="4">
        <f>IF(A25&lt;('2. Inputs and results'!$B$21+1),R24+G25+I25+J25+H25+T25-$V$6,NA())</f>
        <v>86342.786967533961</v>
      </c>
      <c r="S25" s="4">
        <f>IF(A25&lt;('2. Inputs and results'!$B$21+1),'2. Inputs and results'!$B$79*(R24)," ")</f>
        <v>1361.7521519854074</v>
      </c>
      <c r="T25" s="4">
        <f t="shared" si="1"/>
        <v>0</v>
      </c>
      <c r="U25" s="4">
        <f>IF(A25&lt;('2. Inputs and results'!$B$21+1),U24+(T25+I25+G25+H25+J25-$V$6)/((1+$P$2)^A25),NA())</f>
        <v>-2699.0625091527654</v>
      </c>
      <c r="V25" s="4">
        <f>IF(A25&lt;('2. Inputs and results'!$B$21+1),V24+('2. Inputs and results'!$B$75*'2. Inputs and results'!$B$73)," ")</f>
        <v>36800</v>
      </c>
      <c r="W25" s="4">
        <f>IF(A25&lt;('2. Inputs and results'!$B$21+1),W24+C25+Y25-$V$6,NA())</f>
        <v>1338.5247345738167</v>
      </c>
      <c r="X25" s="4">
        <f>IF(A25&lt;('2. Inputs and results'!$B$21+1),'2. Inputs and results'!$B$79*W24," ")</f>
        <v>-162.38186794953302</v>
      </c>
      <c r="Y25" s="4">
        <f t="shared" si="2"/>
        <v>-162.38186794953302</v>
      </c>
      <c r="Z25" s="4">
        <f>IF(A25&lt;('2. Inputs and results'!$B$21+1),Z24+(C25-$V$6+Y25)/((1+$P$2)^A25),NA())</f>
        <v>-51933.006338848747</v>
      </c>
      <c r="AA25" s="4">
        <f>IF(A25&lt;('2. Inputs and results'!$B$21+1),AA24+(G25+I25+H25+T25-$V$6)," ")</f>
        <v>242742.78696753399</v>
      </c>
      <c r="AB25" s="20">
        <f>IF(A25&lt;('2. Inputs and results'!$B$21+1),AA25/L25,NA())</f>
        <v>1.5520638552911381</v>
      </c>
      <c r="AC25" s="29">
        <f>IF(A25&lt;('2. Inputs and results'!$B$21+1),AC24+(C25+Y25-$V$6)," ")</f>
        <v>157738.52473457385</v>
      </c>
      <c r="AD25" s="20">
        <f>IF(A25&lt;('2. Inputs and results'!$B$21+1),AC25/L25,NA())</f>
        <v>1.0085583422926716</v>
      </c>
      <c r="AE25">
        <f>IF(A25&lt;('2. Inputs and results'!$B$21+1),-'2. Inputs and results'!$B$121*A25," ")</f>
        <v>-408000</v>
      </c>
      <c r="AF25">
        <f>IF(A25&lt;('2. Inputs and results'!$B$21+1),AE25/1000,NA())</f>
        <v>-408</v>
      </c>
    </row>
    <row r="26" spans="1:32" x14ac:dyDescent="0.25">
      <c r="A26">
        <f t="shared" si="0"/>
        <v>21</v>
      </c>
      <c r="B26" t="str">
        <f>IF(A26&lt;('2. Inputs and results'!$B$21+1),A26," ")</f>
        <v xml:space="preserve"> </v>
      </c>
      <c r="C26" s="4" t="str">
        <f>IF(A26&lt;('2. Inputs and results'!$B$21+1),'2. Inputs and results'!$B$99+'2. Inputs and results'!$B$101," ")</f>
        <v xml:space="preserve"> </v>
      </c>
      <c r="D26" s="4" t="e">
        <f>IF(A26&lt;('2. Inputs and results'!$B$21+1),D25+C26,NA())</f>
        <v>#N/A</v>
      </c>
      <c r="E26" s="4" t="str">
        <f>IF(B26&lt;('2. Inputs and results'!$B$21+1),C26/((1+$P$2)^A26)," ")</f>
        <v xml:space="preserve"> </v>
      </c>
      <c r="F26" s="4" t="str">
        <f>IF(A26&lt;('2. Inputs and results'!$B$21+1),F25+E26," ")</f>
        <v xml:space="preserve"> </v>
      </c>
      <c r="G26" s="4" t="str">
        <f>IF(A26&lt;('2. Inputs and results'!$B$21+1),G25*(1+'2. Inputs and results'!$B$44)," ")</f>
        <v xml:space="preserve"> </v>
      </c>
      <c r="H26" s="4" t="str">
        <f>IF(A26&lt;('2. Inputs and results'!$B$21+1),H25*(1+'2. Inputs and results'!$B$56)," ")</f>
        <v xml:space="preserve"> </v>
      </c>
      <c r="I26" s="4" t="str">
        <f>IF(A26&lt;('2. Inputs and results'!$B$21+1),I25*(1+'2. Inputs and results'!$B$32)," ")</f>
        <v xml:space="preserve"> </v>
      </c>
      <c r="J26" s="4" t="str">
        <f>IF(A26&lt;('2. Inputs and results'!$B$21+1),J25*(1+'2. Inputs and results'!$B$66)," ")</f>
        <v xml:space="preserve"> </v>
      </c>
      <c r="K26" s="4" t="e">
        <f>IF('Solution 1, (hidden)'!A26&lt;('2. Inputs and results'!$B$21+1),K25+(G26+I26+H26+J26),NA())</f>
        <v>#N/A</v>
      </c>
      <c r="L26" s="4" t="e">
        <f>IF(A26&lt;('2. Inputs and results'!$B$21+1),L25,NA())</f>
        <v>#N/A</v>
      </c>
      <c r="M26" s="4" t="str">
        <f>IF(A26&lt;('2. Inputs and results'!$B$21+1),'2. Inputs and results'!$B$75*'2. Inputs and results'!$B$73," ")</f>
        <v xml:space="preserve"> </v>
      </c>
      <c r="N26" s="4" t="str">
        <f>IF(A26&lt;('2. Inputs and results'!$B$21+1),M26/((1+$P$2)^A26)," ")</f>
        <v xml:space="preserve"> </v>
      </c>
      <c r="O26" s="4" t="str">
        <f>IF(A26&lt;('2. Inputs and results'!$B$21+1),'2. Inputs and results'!$B$73*'2. Inputs and results'!$B$75+O25," ")</f>
        <v xml:space="preserve"> </v>
      </c>
      <c r="P26" s="4" t="str">
        <f>IF(A26&lt;('2. Inputs and results'!$B$21+1),(G26+I26+H26+J26)/((1+$P$2)^A26)," ")</f>
        <v xml:space="preserve"> </v>
      </c>
      <c r="Q26" s="4" t="str">
        <f>IF(A26&lt;('2. Inputs and results'!$B$21+1),Q25+P26," ")</f>
        <v xml:space="preserve"> </v>
      </c>
      <c r="R26" s="4" t="e">
        <f>IF(A26&lt;('2. Inputs and results'!$B$21+1),R25+G26+I26+J26+H26+T26-$V$6,NA())</f>
        <v>#N/A</v>
      </c>
      <c r="S26" s="4" t="str">
        <f>IF(A26&lt;('2. Inputs and results'!$B$21+1),'2. Inputs and results'!$B$79*(R25)," ")</f>
        <v xml:space="preserve"> </v>
      </c>
      <c r="T26" s="4">
        <f t="shared" si="1"/>
        <v>0</v>
      </c>
      <c r="U26" s="4" t="e">
        <f>IF(A26&lt;('2. Inputs and results'!$B$21+1),U25+(T26+I26+G26+H26+J26-$V$6)/((1+$P$2)^A26),NA())</f>
        <v>#N/A</v>
      </c>
      <c r="V26" s="4" t="str">
        <f>IF(A26&lt;('2. Inputs and results'!$B$21+1),V25+('2. Inputs and results'!$B$75*'2. Inputs and results'!$B$73)," ")</f>
        <v xml:space="preserve"> </v>
      </c>
      <c r="W26" s="4" t="e">
        <f>IF(A26&lt;('2. Inputs and results'!$B$21+1),W25+C26+Y26-$V$6,NA())</f>
        <v>#N/A</v>
      </c>
      <c r="X26" s="4" t="str">
        <f>IF(A26&lt;('2. Inputs and results'!$B$21+1),'2. Inputs and results'!$B$79*W25," ")</f>
        <v xml:space="preserve"> </v>
      </c>
      <c r="Y26" s="4">
        <f t="shared" si="2"/>
        <v>0</v>
      </c>
      <c r="Z26" s="4" t="e">
        <f>IF(A26&lt;('2. Inputs and results'!$B$21+1),Z25+(C26-$V$6+Y26)/((1+$P$2)^A26),NA())</f>
        <v>#N/A</v>
      </c>
      <c r="AA26" s="4" t="str">
        <f>IF(A26&lt;('2. Inputs and results'!$B$21+1),AA25+(G26+I26+H26+T26-$V$6)," ")</f>
        <v xml:space="preserve"> </v>
      </c>
      <c r="AB26" s="20" t="e">
        <f>IF(A26&lt;('2. Inputs and results'!$B$21+1),AA26/L26,NA())</f>
        <v>#N/A</v>
      </c>
      <c r="AC26" s="29" t="str">
        <f>IF(A26&lt;('2. Inputs and results'!$B$21+1),AC25+(C26+Y26-$V$6)," ")</f>
        <v xml:space="preserve"> </v>
      </c>
      <c r="AD26" s="20" t="e">
        <f>IF(A26&lt;('2. Inputs and results'!$B$21+1),AC26/L26,NA())</f>
        <v>#N/A</v>
      </c>
      <c r="AE26" t="str">
        <f>IF(A26&lt;('2. Inputs and results'!$B$21+1),-'2. Inputs and results'!$B$121*A26," ")</f>
        <v xml:space="preserve"> </v>
      </c>
      <c r="AF26" t="e">
        <f>IF(A26&lt;('2. Inputs and results'!$B$21+1),AE26/1000,NA())</f>
        <v>#N/A</v>
      </c>
    </row>
    <row r="27" spans="1:32" x14ac:dyDescent="0.25">
      <c r="A27">
        <f t="shared" si="0"/>
        <v>22</v>
      </c>
      <c r="B27" t="str">
        <f>IF(A27&lt;('2. Inputs and results'!$B$21+1),A27," ")</f>
        <v xml:space="preserve"> </v>
      </c>
      <c r="C27" s="4" t="str">
        <f>IF(A27&lt;('2. Inputs and results'!$B$21+1),'2. Inputs and results'!$B$99+'2. Inputs and results'!$B$101," ")</f>
        <v xml:space="preserve"> </v>
      </c>
      <c r="D27" s="4" t="e">
        <f>IF(A27&lt;('2. Inputs and results'!$B$21+1),D26+C27,NA())</f>
        <v>#N/A</v>
      </c>
      <c r="E27" s="4" t="str">
        <f>IF(B27&lt;('2. Inputs and results'!$B$21+1),C27/((1+$P$2)^A27)," ")</f>
        <v xml:space="preserve"> </v>
      </c>
      <c r="F27" s="4" t="str">
        <f>IF(A27&lt;('2. Inputs and results'!$B$21+1),F26+E27," ")</f>
        <v xml:space="preserve"> </v>
      </c>
      <c r="G27" s="4" t="str">
        <f>IF(A27&lt;('2. Inputs and results'!$B$21+1),G26*(1+'2. Inputs and results'!$B$44)," ")</f>
        <v xml:space="preserve"> </v>
      </c>
      <c r="H27" s="4" t="str">
        <f>IF(A27&lt;('2. Inputs and results'!$B$21+1),H26*(1+'2. Inputs and results'!$B$56)," ")</f>
        <v xml:space="preserve"> </v>
      </c>
      <c r="I27" s="4" t="str">
        <f>IF(A27&lt;('2. Inputs and results'!$B$21+1),I26*(1+'2. Inputs and results'!$B$32)," ")</f>
        <v xml:space="preserve"> </v>
      </c>
      <c r="J27" s="4" t="str">
        <f>IF(A27&lt;('2. Inputs and results'!$B$21+1),J26*(1+'2. Inputs and results'!$B$66)," ")</f>
        <v xml:space="preserve"> </v>
      </c>
      <c r="K27" s="4" t="e">
        <f>IF('Solution 1, (hidden)'!A27&lt;('2. Inputs and results'!$B$21+1),K26+(G27+I27+H27+J27),NA())</f>
        <v>#N/A</v>
      </c>
      <c r="L27" s="4" t="e">
        <f>IF(A27&lt;('2. Inputs and results'!$B$21+1),L26,NA())</f>
        <v>#N/A</v>
      </c>
      <c r="M27" s="4" t="str">
        <f>IF(A27&lt;('2. Inputs and results'!$B$21+1),'2. Inputs and results'!$B$75*'2. Inputs and results'!$B$73," ")</f>
        <v xml:space="preserve"> </v>
      </c>
      <c r="N27" s="4" t="str">
        <f>IF(A27&lt;('2. Inputs and results'!$B$21+1),M27/((1+$P$2)^A27)," ")</f>
        <v xml:space="preserve"> </v>
      </c>
      <c r="O27" s="4" t="str">
        <f>IF(A27&lt;('2. Inputs and results'!$B$21+1),'2. Inputs and results'!$B$73*'2. Inputs and results'!$B$75+O26," ")</f>
        <v xml:space="preserve"> </v>
      </c>
      <c r="P27" s="4" t="str">
        <f>IF(A27&lt;('2. Inputs and results'!$B$21+1),(G27+I27+H27+J27)/((1+$P$2)^A27)," ")</f>
        <v xml:space="preserve"> </v>
      </c>
      <c r="Q27" s="4" t="str">
        <f>IF(A27&lt;('2. Inputs and results'!$B$21+1),Q26+P27," ")</f>
        <v xml:space="preserve"> </v>
      </c>
      <c r="R27" s="4" t="e">
        <f>IF(A27&lt;('2. Inputs and results'!$B$21+1),R26+G27+I27+J27+H27+T27-$V$6,NA())</f>
        <v>#N/A</v>
      </c>
      <c r="S27" s="4" t="str">
        <f>IF(A27&lt;('2. Inputs and results'!$B$21+1),'2. Inputs and results'!$B$79*(R26)," ")</f>
        <v xml:space="preserve"> </v>
      </c>
      <c r="T27" s="4">
        <f t="shared" si="1"/>
        <v>0</v>
      </c>
      <c r="U27" s="4" t="e">
        <f>IF(A27&lt;('2. Inputs and results'!$B$21+1),U26+(T27+I27+G27+H27+J27-$V$6)/((1+$P$2)^A27),NA())</f>
        <v>#N/A</v>
      </c>
      <c r="V27" s="4" t="str">
        <f>IF(A27&lt;('2. Inputs and results'!$B$21+1),V26+('2. Inputs and results'!$B$75*'2. Inputs and results'!$B$73)," ")</f>
        <v xml:space="preserve"> </v>
      </c>
      <c r="W27" s="4" t="e">
        <f>IF(A27&lt;('2. Inputs and results'!$B$21+1),W26+C27+Y27-$V$6,NA())</f>
        <v>#N/A</v>
      </c>
      <c r="X27" s="4" t="str">
        <f>IF(A27&lt;('2. Inputs and results'!$B$21+1),'2. Inputs and results'!$B$79*W26," ")</f>
        <v xml:space="preserve"> </v>
      </c>
      <c r="Y27" s="4">
        <f t="shared" si="2"/>
        <v>0</v>
      </c>
      <c r="Z27" s="4" t="e">
        <f>IF(A27&lt;('2. Inputs and results'!$B$21+1),Z26+(C27-$V$6+Y27)/((1+$P$2)^A27),NA())</f>
        <v>#N/A</v>
      </c>
      <c r="AA27" s="4" t="str">
        <f>IF(A27&lt;('2. Inputs and results'!$B$21+1),AA26+(G27+I27+H27+T27-$V$6)," ")</f>
        <v xml:space="preserve"> </v>
      </c>
      <c r="AB27" s="20" t="e">
        <f>IF(A27&lt;('2. Inputs and results'!$B$21+1),AA27/L27,NA())</f>
        <v>#N/A</v>
      </c>
      <c r="AC27" s="29" t="str">
        <f>IF(A27&lt;('2. Inputs and results'!$B$21+1),AC26+(C27+Y27-$V$6)," ")</f>
        <v xml:space="preserve"> </v>
      </c>
      <c r="AD27" s="20" t="e">
        <f>IF(A27&lt;('2. Inputs and results'!$B$21+1),AC27/L27,NA())</f>
        <v>#N/A</v>
      </c>
      <c r="AE27" t="str">
        <f>IF(A27&lt;('2. Inputs and results'!$B$21+1),-'2. Inputs and results'!$B$121*A27," ")</f>
        <v xml:space="preserve"> </v>
      </c>
      <c r="AF27" t="e">
        <f>IF(A27&lt;('2. Inputs and results'!$B$21+1),AE27/1000,NA())</f>
        <v>#N/A</v>
      </c>
    </row>
    <row r="28" spans="1:32" x14ac:dyDescent="0.25">
      <c r="A28">
        <f t="shared" si="0"/>
        <v>23</v>
      </c>
      <c r="B28" t="str">
        <f>IF(A28&lt;('2. Inputs and results'!$B$21+1),A28," ")</f>
        <v xml:space="preserve"> </v>
      </c>
      <c r="C28" s="4" t="str">
        <f>IF(A28&lt;('2. Inputs and results'!$B$21+1),'2. Inputs and results'!$B$99+'2. Inputs and results'!$B$101," ")</f>
        <v xml:space="preserve"> </v>
      </c>
      <c r="D28" s="4" t="e">
        <f>IF(A28&lt;('2. Inputs and results'!$B$21+1),D27+C28,NA())</f>
        <v>#N/A</v>
      </c>
      <c r="E28" s="4" t="str">
        <f>IF(B28&lt;('2. Inputs and results'!$B$21+1),C28/((1+$P$2)^A28)," ")</f>
        <v xml:space="preserve"> </v>
      </c>
      <c r="F28" s="4" t="str">
        <f>IF(A28&lt;('2. Inputs and results'!$B$21+1),F27+E28," ")</f>
        <v xml:space="preserve"> </v>
      </c>
      <c r="G28" s="4" t="str">
        <f>IF(A28&lt;('2. Inputs and results'!$B$21+1),G27*(1+'2. Inputs and results'!$B$44)," ")</f>
        <v xml:space="preserve"> </v>
      </c>
      <c r="H28" s="4" t="str">
        <f>IF(A28&lt;('2. Inputs and results'!$B$21+1),H27*(1+'2. Inputs and results'!$B$56)," ")</f>
        <v xml:space="preserve"> </v>
      </c>
      <c r="I28" s="4" t="str">
        <f>IF(A28&lt;('2. Inputs and results'!$B$21+1),I27*(1+'2. Inputs and results'!$B$32)," ")</f>
        <v xml:space="preserve"> </v>
      </c>
      <c r="J28" s="4" t="str">
        <f>IF(A28&lt;('2. Inputs and results'!$B$21+1),J27*(1+'2. Inputs and results'!$B$66)," ")</f>
        <v xml:space="preserve"> </v>
      </c>
      <c r="K28" s="4" t="e">
        <f>IF('Solution 1, (hidden)'!A28&lt;('2. Inputs and results'!$B$21+1),K27+(G28+I28+H28+J28),NA())</f>
        <v>#N/A</v>
      </c>
      <c r="L28" s="4" t="e">
        <f>IF(A28&lt;('2. Inputs and results'!$B$21+1),L27,NA())</f>
        <v>#N/A</v>
      </c>
      <c r="M28" s="4" t="str">
        <f>IF(A28&lt;('2. Inputs and results'!$B$21+1),'2. Inputs and results'!$B$75*'2. Inputs and results'!$B$73," ")</f>
        <v xml:space="preserve"> </v>
      </c>
      <c r="N28" s="4" t="str">
        <f>IF(A28&lt;('2. Inputs and results'!$B$21+1),M28/((1+$P$2)^A28)," ")</f>
        <v xml:space="preserve"> </v>
      </c>
      <c r="O28" s="4" t="str">
        <f>IF(A28&lt;('2. Inputs and results'!$B$21+1),'2. Inputs and results'!$B$73*'2. Inputs and results'!$B$75+O27," ")</f>
        <v xml:space="preserve"> </v>
      </c>
      <c r="P28" s="4" t="str">
        <f>IF(A28&lt;('2. Inputs and results'!$B$21+1),(G28+I28+H28+J28)/((1+$P$2)^A28)," ")</f>
        <v xml:space="preserve"> </v>
      </c>
      <c r="Q28" s="4" t="str">
        <f>IF(A28&lt;('2. Inputs and results'!$B$21+1),Q27+P28," ")</f>
        <v xml:space="preserve"> </v>
      </c>
      <c r="R28" s="4" t="e">
        <f>IF(A28&lt;('2. Inputs and results'!$B$21+1),R27+G28+I28+J28+H28+T28-$V$6,NA())</f>
        <v>#N/A</v>
      </c>
      <c r="S28" s="4" t="str">
        <f>IF(A28&lt;('2. Inputs and results'!$B$21+1),'2. Inputs and results'!$B$79*(R27)," ")</f>
        <v xml:space="preserve"> </v>
      </c>
      <c r="T28" s="4">
        <f t="shared" si="1"/>
        <v>0</v>
      </c>
      <c r="U28" s="4" t="e">
        <f>IF(A28&lt;('2. Inputs and results'!$B$21+1),U27+(T28+I28+G28+H28+J28-$V$6)/((1+$P$2)^A28),NA())</f>
        <v>#N/A</v>
      </c>
      <c r="V28" s="4" t="str">
        <f>IF(A28&lt;('2. Inputs and results'!$B$21+1),V27+('2. Inputs and results'!$B$75*'2. Inputs and results'!$B$73)," ")</f>
        <v xml:space="preserve"> </v>
      </c>
      <c r="W28" s="4" t="e">
        <f>IF(A28&lt;('2. Inputs and results'!$B$21+1),W27+C28+Y28-$V$6,NA())</f>
        <v>#N/A</v>
      </c>
      <c r="X28" s="4" t="str">
        <f>IF(A28&lt;('2. Inputs and results'!$B$21+1),'2. Inputs and results'!$B$79*W27," ")</f>
        <v xml:space="preserve"> </v>
      </c>
      <c r="Y28" s="4">
        <f t="shared" si="2"/>
        <v>0</v>
      </c>
      <c r="Z28" s="4" t="e">
        <f>IF(A28&lt;('2. Inputs and results'!$B$21+1),Z27+(C28-$V$6+Y28)/((1+$P$2)^A28),NA())</f>
        <v>#N/A</v>
      </c>
      <c r="AA28" s="4" t="str">
        <f>IF(A28&lt;('2. Inputs and results'!$B$21+1),AA27+(G28+I28+H28+T28-$V$6)," ")</f>
        <v xml:space="preserve"> </v>
      </c>
      <c r="AB28" s="20" t="e">
        <f>IF(A28&lt;('2. Inputs and results'!$B$21+1),AA28/L28,NA())</f>
        <v>#N/A</v>
      </c>
      <c r="AC28" s="29" t="str">
        <f>IF(A28&lt;('2. Inputs and results'!$B$21+1),AC27+(C28+Y28-$V$6)," ")</f>
        <v xml:space="preserve"> </v>
      </c>
      <c r="AD28" s="20" t="e">
        <f>IF(A28&lt;('2. Inputs and results'!$B$21+1),AC28/L28,NA())</f>
        <v>#N/A</v>
      </c>
      <c r="AE28" t="str">
        <f>IF(A28&lt;('2. Inputs and results'!$B$21+1),-'2. Inputs and results'!$B$121*A28," ")</f>
        <v xml:space="preserve"> </v>
      </c>
      <c r="AF28" t="e">
        <f>IF(A28&lt;('2. Inputs and results'!$B$21+1),AE28/1000,NA())</f>
        <v>#N/A</v>
      </c>
    </row>
    <row r="29" spans="1:32" x14ac:dyDescent="0.25">
      <c r="A29">
        <f t="shared" si="0"/>
        <v>24</v>
      </c>
      <c r="B29" t="str">
        <f>IF(A29&lt;('2. Inputs and results'!$B$21+1),A29," ")</f>
        <v xml:space="preserve"> </v>
      </c>
      <c r="C29" s="4" t="str">
        <f>IF(A29&lt;('2. Inputs and results'!$B$21+1),'2. Inputs and results'!$B$99+'2. Inputs and results'!$B$101," ")</f>
        <v xml:space="preserve"> </v>
      </c>
      <c r="D29" s="4" t="e">
        <f>IF(A29&lt;('2. Inputs and results'!$B$21+1),D28+C29,NA())</f>
        <v>#N/A</v>
      </c>
      <c r="E29" s="4" t="str">
        <f>IF(B29&lt;('2. Inputs and results'!$B$21+1),C29/((1+$P$2)^A29)," ")</f>
        <v xml:space="preserve"> </v>
      </c>
      <c r="F29" s="4" t="str">
        <f>IF(A29&lt;('2. Inputs and results'!$B$21+1),F28+E29," ")</f>
        <v xml:space="preserve"> </v>
      </c>
      <c r="G29" s="4" t="str">
        <f>IF(A29&lt;('2. Inputs and results'!$B$21+1),G28*(1+'2. Inputs and results'!$B$44)," ")</f>
        <v xml:space="preserve"> </v>
      </c>
      <c r="H29" s="4" t="str">
        <f>IF(A29&lt;('2. Inputs and results'!$B$21+1),H28*(1+'2. Inputs and results'!$B$56)," ")</f>
        <v xml:space="preserve"> </v>
      </c>
      <c r="I29" s="4" t="str">
        <f>IF(A29&lt;('2. Inputs and results'!$B$21+1),I28*(1+'2. Inputs and results'!$B$32)," ")</f>
        <v xml:space="preserve"> </v>
      </c>
      <c r="J29" s="4" t="str">
        <f>IF(A29&lt;('2. Inputs and results'!$B$21+1),J28*(1+'2. Inputs and results'!$B$66)," ")</f>
        <v xml:space="preserve"> </v>
      </c>
      <c r="K29" s="4" t="e">
        <f>IF('Solution 1, (hidden)'!A29&lt;('2. Inputs and results'!$B$21+1),K28+(G29+I29+H29+J29),NA())</f>
        <v>#N/A</v>
      </c>
      <c r="L29" s="4" t="e">
        <f>IF(A29&lt;('2. Inputs and results'!$B$21+1),L28,NA())</f>
        <v>#N/A</v>
      </c>
      <c r="M29" s="4" t="str">
        <f>IF(A29&lt;('2. Inputs and results'!$B$21+1),'2. Inputs and results'!$B$75*'2. Inputs and results'!$B$73," ")</f>
        <v xml:space="preserve"> </v>
      </c>
      <c r="N29" s="4" t="str">
        <f>IF(A29&lt;('2. Inputs and results'!$B$21+1),M29/((1+$P$2)^A29)," ")</f>
        <v xml:space="preserve"> </v>
      </c>
      <c r="O29" s="4" t="str">
        <f>IF(A29&lt;('2. Inputs and results'!$B$21+1),'2. Inputs and results'!$B$73*'2. Inputs and results'!$B$75+O28," ")</f>
        <v xml:space="preserve"> </v>
      </c>
      <c r="P29" s="4" t="str">
        <f>IF(A29&lt;('2. Inputs and results'!$B$21+1),(G29+I29+H29+J29)/((1+$P$2)^A29)," ")</f>
        <v xml:space="preserve"> </v>
      </c>
      <c r="Q29" s="4" t="str">
        <f>IF(A29&lt;('2. Inputs and results'!$B$21+1),Q28+P29," ")</f>
        <v xml:space="preserve"> </v>
      </c>
      <c r="R29" s="4" t="e">
        <f>IF(A29&lt;('2. Inputs and results'!$B$21+1),R28+G29+I29+J29+H29+T29-$V$6,NA())</f>
        <v>#N/A</v>
      </c>
      <c r="S29" s="4" t="str">
        <f>IF(A29&lt;('2. Inputs and results'!$B$21+1),'2. Inputs and results'!$B$79*(R28)," ")</f>
        <v xml:space="preserve"> </v>
      </c>
      <c r="T29" s="4">
        <f t="shared" si="1"/>
        <v>0</v>
      </c>
      <c r="U29" s="4" t="e">
        <f>IF(A29&lt;('2. Inputs and results'!$B$21+1),U28+(T29+I29+G29+H29+J29-$V$6)/((1+$P$2)^A29),NA())</f>
        <v>#N/A</v>
      </c>
      <c r="V29" s="4" t="str">
        <f>IF(A29&lt;('2. Inputs and results'!$B$21+1),V28+('2. Inputs and results'!$B$75*'2. Inputs and results'!$B$73)," ")</f>
        <v xml:space="preserve"> </v>
      </c>
      <c r="W29" s="4" t="e">
        <f>IF(A29&lt;('2. Inputs and results'!$B$21+1),W28+C29+Y29-$V$6,NA())</f>
        <v>#N/A</v>
      </c>
      <c r="X29" s="4" t="str">
        <f>IF(A29&lt;('2. Inputs and results'!$B$21+1),'2. Inputs and results'!$B$79*W28," ")</f>
        <v xml:space="preserve"> </v>
      </c>
      <c r="Y29" s="4">
        <f t="shared" si="2"/>
        <v>0</v>
      </c>
      <c r="Z29" s="4" t="e">
        <f>IF(A29&lt;('2. Inputs and results'!$B$21+1),Z28+(C29-$V$6+Y29)/((1+$P$2)^A29),NA())</f>
        <v>#N/A</v>
      </c>
      <c r="AA29" s="4" t="str">
        <f>IF(A29&lt;('2. Inputs and results'!$B$21+1),AA28+(G29+I29+H29+T29-$V$6)," ")</f>
        <v xml:space="preserve"> </v>
      </c>
      <c r="AB29" s="20" t="e">
        <f>IF(A29&lt;('2. Inputs and results'!$B$21+1),AA29/L29,NA())</f>
        <v>#N/A</v>
      </c>
      <c r="AC29" s="29" t="str">
        <f>IF(A29&lt;('2. Inputs and results'!$B$21+1),AC28+(C29+Y29-$V$6)," ")</f>
        <v xml:space="preserve"> </v>
      </c>
      <c r="AD29" s="20" t="e">
        <f>IF(A29&lt;('2. Inputs and results'!$B$21+1),AC29/L29,NA())</f>
        <v>#N/A</v>
      </c>
      <c r="AE29" t="str">
        <f>IF(A29&lt;('2. Inputs and results'!$B$21+1),-'2. Inputs and results'!$B$121*A29," ")</f>
        <v xml:space="preserve"> </v>
      </c>
      <c r="AF29" t="e">
        <f>IF(A29&lt;('2. Inputs and results'!$B$21+1),AE29/1000,NA())</f>
        <v>#N/A</v>
      </c>
    </row>
    <row r="30" spans="1:32" x14ac:dyDescent="0.25">
      <c r="A30">
        <f t="shared" si="0"/>
        <v>25</v>
      </c>
      <c r="B30" t="str">
        <f>IF(A30&lt;('2. Inputs and results'!$B$21+1),A30," ")</f>
        <v xml:space="preserve"> </v>
      </c>
      <c r="C30" s="4" t="str">
        <f>IF(A30&lt;('2. Inputs and results'!$B$21+1),'2. Inputs and results'!$B$99+'2. Inputs and results'!$B$101," ")</f>
        <v xml:space="preserve"> </v>
      </c>
      <c r="D30" s="4" t="e">
        <f>IF(A30&lt;('2. Inputs and results'!$B$21+1),D29+C30,NA())</f>
        <v>#N/A</v>
      </c>
      <c r="E30" s="4" t="str">
        <f>IF(B30&lt;('2. Inputs and results'!$B$21+1),C30/((1+$P$2)^A30)," ")</f>
        <v xml:space="preserve"> </v>
      </c>
      <c r="F30" s="4" t="str">
        <f>IF(A30&lt;('2. Inputs and results'!$B$21+1),F29+E30," ")</f>
        <v xml:space="preserve"> </v>
      </c>
      <c r="G30" s="4" t="str">
        <f>IF(A30&lt;('2. Inputs and results'!$B$21+1),G29*(1+'2. Inputs and results'!$B$44)," ")</f>
        <v xml:space="preserve"> </v>
      </c>
      <c r="H30" s="4" t="str">
        <f>IF(A30&lt;('2. Inputs and results'!$B$21+1),H29*(1+'2. Inputs and results'!$B$56)," ")</f>
        <v xml:space="preserve"> </v>
      </c>
      <c r="I30" s="4" t="str">
        <f>IF(A30&lt;('2. Inputs and results'!$B$21+1),I29*(1+'2. Inputs and results'!$B$32)," ")</f>
        <v xml:space="preserve"> </v>
      </c>
      <c r="J30" s="4" t="str">
        <f>IF(A30&lt;('2. Inputs and results'!$B$21+1),J29*(1+'2. Inputs and results'!$B$66)," ")</f>
        <v xml:space="preserve"> </v>
      </c>
      <c r="K30" s="4" t="e">
        <f>IF('Solution 1, (hidden)'!A30&lt;('2. Inputs and results'!$B$21+1),K29+(G30+I30+H30+J30),NA())</f>
        <v>#N/A</v>
      </c>
      <c r="L30" s="4" t="e">
        <f>IF(A30&lt;('2. Inputs and results'!$B$21+1),L29,NA())</f>
        <v>#N/A</v>
      </c>
      <c r="M30" s="4" t="str">
        <f>IF(A30&lt;('2. Inputs and results'!$B$21+1),'2. Inputs and results'!$B$75*'2. Inputs and results'!$B$73," ")</f>
        <v xml:space="preserve"> </v>
      </c>
      <c r="N30" s="4" t="str">
        <f>IF(A30&lt;('2. Inputs and results'!$B$21+1),M30/((1+$P$2)^A30)," ")</f>
        <v xml:space="preserve"> </v>
      </c>
      <c r="O30" s="4" t="str">
        <f>IF(A30&lt;('2. Inputs and results'!$B$21+1),'2. Inputs and results'!$B$73*'2. Inputs and results'!$B$75+O29," ")</f>
        <v xml:space="preserve"> </v>
      </c>
      <c r="P30" s="4" t="str">
        <f>IF(A30&lt;('2. Inputs and results'!$B$21+1),(G30+I30+H30+J30)/((1+$P$2)^A30)," ")</f>
        <v xml:space="preserve"> </v>
      </c>
      <c r="Q30" s="4" t="str">
        <f>IF(A30&lt;('2. Inputs and results'!$B$21+1),Q29+P30," ")</f>
        <v xml:space="preserve"> </v>
      </c>
      <c r="R30" s="4" t="e">
        <f>IF(A30&lt;('2. Inputs and results'!$B$21+1),R29+G30+I30+J30+H30+T30-$V$6,NA())</f>
        <v>#N/A</v>
      </c>
      <c r="S30" s="4" t="str">
        <f>IF(A30&lt;('2. Inputs and results'!$B$21+1),'2. Inputs and results'!$B$79*(R29)," ")</f>
        <v xml:space="preserve"> </v>
      </c>
      <c r="T30" s="4">
        <f t="shared" si="1"/>
        <v>0</v>
      </c>
      <c r="U30" s="4" t="e">
        <f>IF(A30&lt;('2. Inputs and results'!$B$21+1),U29+(T30+I30+G30+H30+J30-$V$6)/((1+$P$2)^A30),NA())</f>
        <v>#N/A</v>
      </c>
      <c r="V30" s="4" t="str">
        <f>IF(A30&lt;('2. Inputs and results'!$B$21+1),V29+('2. Inputs and results'!$B$75*'2. Inputs and results'!$B$73)," ")</f>
        <v xml:space="preserve"> </v>
      </c>
      <c r="W30" s="4" t="e">
        <f>IF(A30&lt;('2. Inputs and results'!$B$21+1),W29+C30+Y30-$V$6,NA())</f>
        <v>#N/A</v>
      </c>
      <c r="X30" s="4" t="str">
        <f>IF(A30&lt;('2. Inputs and results'!$B$21+1),'2. Inputs and results'!$B$79*W29," ")</f>
        <v xml:space="preserve"> </v>
      </c>
      <c r="Y30" s="4">
        <f t="shared" si="2"/>
        <v>0</v>
      </c>
      <c r="Z30" s="4" t="e">
        <f>IF(A30&lt;('2. Inputs and results'!$B$21+1),Z29+(C30-$V$6+Y30)/((1+$P$2)^A30),NA())</f>
        <v>#N/A</v>
      </c>
      <c r="AA30" s="4" t="str">
        <f>IF(A30&lt;('2. Inputs and results'!$B$21+1),AA29+(G30+I30+H30+T30-$V$6)," ")</f>
        <v xml:space="preserve"> </v>
      </c>
      <c r="AB30" s="20" t="e">
        <f>IF(A30&lt;('2. Inputs and results'!$B$21+1),AA30/L30,NA())</f>
        <v>#N/A</v>
      </c>
      <c r="AC30" s="29" t="str">
        <f>IF(A30&lt;('2. Inputs and results'!$B$21+1),AC29+(C30+Y30-$V$6)," ")</f>
        <v xml:space="preserve"> </v>
      </c>
      <c r="AD30" s="20" t="e">
        <f>IF(A30&lt;('2. Inputs and results'!$B$21+1),AC30/L30,NA())</f>
        <v>#N/A</v>
      </c>
      <c r="AE30" t="str">
        <f>IF(A30&lt;('2. Inputs and results'!$B$21+1),-'2. Inputs and results'!$B$121*A30," ")</f>
        <v xml:space="preserve"> </v>
      </c>
      <c r="AF30" t="e">
        <f>IF(A30&lt;('2. Inputs and results'!$B$21+1),AE30/1000,NA())</f>
        <v>#N/A</v>
      </c>
    </row>
    <row r="31" spans="1:32" x14ac:dyDescent="0.25">
      <c r="A31">
        <f t="shared" si="0"/>
        <v>26</v>
      </c>
      <c r="B31" t="str">
        <f>IF(A31&lt;('2. Inputs and results'!$B$21+1),A31," ")</f>
        <v xml:space="preserve"> </v>
      </c>
      <c r="C31" s="4" t="str">
        <f>IF(A31&lt;('2. Inputs and results'!$B$21+1),'2. Inputs and results'!$B$99+'2. Inputs and results'!$B$101," ")</f>
        <v xml:space="preserve"> </v>
      </c>
      <c r="D31" s="4" t="e">
        <f>IF(A31&lt;('2. Inputs and results'!$B$21+1),D30+C31,NA())</f>
        <v>#N/A</v>
      </c>
      <c r="E31" s="4" t="str">
        <f>IF(B31&lt;('2. Inputs and results'!$B$21+1),C31/((1+$P$2)^A31)," ")</f>
        <v xml:space="preserve"> </v>
      </c>
      <c r="F31" s="4" t="str">
        <f>IF(A31&lt;('2. Inputs and results'!$B$21+1),F30+E31," ")</f>
        <v xml:space="preserve"> </v>
      </c>
      <c r="G31" s="4" t="str">
        <f>IF(A31&lt;('2. Inputs and results'!$B$21+1),G30*(1+'2. Inputs and results'!$B$44)," ")</f>
        <v xml:space="preserve"> </v>
      </c>
      <c r="H31" s="4" t="str">
        <f>IF(A31&lt;('2. Inputs and results'!$B$21+1),H30*(1+'2. Inputs and results'!$B$56)," ")</f>
        <v xml:space="preserve"> </v>
      </c>
      <c r="I31" s="4" t="str">
        <f>IF(A31&lt;('2. Inputs and results'!$B$21+1),I30*(1+'2. Inputs and results'!$B$32)," ")</f>
        <v xml:space="preserve"> </v>
      </c>
      <c r="J31" s="4" t="str">
        <f>IF(A31&lt;('2. Inputs and results'!$B$21+1),J30*(1+'2. Inputs and results'!$B$66)," ")</f>
        <v xml:space="preserve"> </v>
      </c>
      <c r="K31" s="4" t="e">
        <f>IF('Solution 1, (hidden)'!A31&lt;('2. Inputs and results'!$B$21+1),K30+(G31+I31+H31+J31),NA())</f>
        <v>#N/A</v>
      </c>
      <c r="L31" s="4" t="e">
        <f>IF(A31&lt;('2. Inputs and results'!$B$21+1),L30,NA())</f>
        <v>#N/A</v>
      </c>
      <c r="M31" s="4" t="str">
        <f>IF(A31&lt;('2. Inputs and results'!$B$21+1),'2. Inputs and results'!$B$75*'2. Inputs and results'!$B$73," ")</f>
        <v xml:space="preserve"> </v>
      </c>
      <c r="N31" s="4" t="str">
        <f>IF(A31&lt;('2. Inputs and results'!$B$21+1),M31/((1+$P$2)^A31)," ")</f>
        <v xml:space="preserve"> </v>
      </c>
      <c r="O31" s="4" t="str">
        <f>IF(A31&lt;('2. Inputs and results'!$B$21+1),'2. Inputs and results'!$B$73*'2. Inputs and results'!$B$75+O30," ")</f>
        <v xml:space="preserve"> </v>
      </c>
      <c r="P31" s="4" t="str">
        <f>IF(A31&lt;('2. Inputs and results'!$B$21+1),(G31+I31+H31+J31)/((1+$P$2)^A31)," ")</f>
        <v xml:space="preserve"> </v>
      </c>
      <c r="Q31" s="4" t="str">
        <f>IF(A31&lt;('2. Inputs and results'!$B$21+1),Q30+P31," ")</f>
        <v xml:space="preserve"> </v>
      </c>
      <c r="R31" s="4" t="e">
        <f>IF(A31&lt;('2. Inputs and results'!$B$21+1),R30+G31+I31+J31+H31+T31-$V$6,NA())</f>
        <v>#N/A</v>
      </c>
      <c r="S31" s="4" t="str">
        <f>IF(A31&lt;('2. Inputs and results'!$B$21+1),'2. Inputs and results'!$B$79*(R30)," ")</f>
        <v xml:space="preserve"> </v>
      </c>
      <c r="T31" s="4">
        <f t="shared" si="1"/>
        <v>0</v>
      </c>
      <c r="U31" s="4" t="e">
        <f>IF(A31&lt;('2. Inputs and results'!$B$21+1),U30+(T31+I31+G31+H31+J31-$V$6)/((1+$P$2)^A31),NA())</f>
        <v>#N/A</v>
      </c>
      <c r="V31" s="4" t="str">
        <f>IF(A31&lt;('2. Inputs and results'!$B$21+1),V30+('2. Inputs and results'!$B$75*'2. Inputs and results'!$B$73)," ")</f>
        <v xml:space="preserve"> </v>
      </c>
      <c r="W31" s="4" t="e">
        <f>IF(A31&lt;('2. Inputs and results'!$B$21+1),W30+C31+Y31-$V$6,NA())</f>
        <v>#N/A</v>
      </c>
      <c r="X31" s="4" t="str">
        <f>IF(A31&lt;('2. Inputs and results'!$B$21+1),'2. Inputs and results'!$B$79*W30," ")</f>
        <v xml:space="preserve"> </v>
      </c>
      <c r="Y31" s="4">
        <f t="shared" si="2"/>
        <v>0</v>
      </c>
      <c r="Z31" s="4" t="e">
        <f>IF(A31&lt;('2. Inputs and results'!$B$21+1),Z30+(C31-$V$6+Y31)/((1+$P$2)^A31),NA())</f>
        <v>#N/A</v>
      </c>
      <c r="AA31" s="4" t="str">
        <f>IF(A31&lt;('2. Inputs and results'!$B$21+1),AA30+(G31+I31+H31+T31-$V$6)," ")</f>
        <v xml:space="preserve"> </v>
      </c>
      <c r="AB31" s="20" t="e">
        <f>IF(A31&lt;('2. Inputs and results'!$B$21+1),AA31/L31,NA())</f>
        <v>#N/A</v>
      </c>
      <c r="AC31" s="29" t="str">
        <f>IF(A31&lt;('2. Inputs and results'!$B$21+1),AC30+(C31+Y31-$V$6)," ")</f>
        <v xml:space="preserve"> </v>
      </c>
      <c r="AD31" s="20" t="e">
        <f>IF(A31&lt;('2. Inputs and results'!$B$21+1),AC31/L31,NA())</f>
        <v>#N/A</v>
      </c>
      <c r="AE31" t="str">
        <f>IF(A31&lt;('2. Inputs and results'!$B$21+1),-'2. Inputs and results'!$B$121*A31," ")</f>
        <v xml:space="preserve"> </v>
      </c>
      <c r="AF31" t="e">
        <f>IF(A31&lt;('2. Inputs and results'!$B$21+1),AE31/1000,NA())</f>
        <v>#N/A</v>
      </c>
    </row>
    <row r="32" spans="1:32" x14ac:dyDescent="0.25">
      <c r="A32">
        <f t="shared" si="0"/>
        <v>27</v>
      </c>
      <c r="B32" t="str">
        <f>IF(A32&lt;('2. Inputs and results'!$B$21+1),A32," ")</f>
        <v xml:space="preserve"> </v>
      </c>
      <c r="C32" s="4" t="str">
        <f>IF(A32&lt;('2. Inputs and results'!$B$21+1),'2. Inputs and results'!$B$99+'2. Inputs and results'!$B$101," ")</f>
        <v xml:space="preserve"> </v>
      </c>
      <c r="D32" s="4" t="e">
        <f>IF(A32&lt;('2. Inputs and results'!$B$21+1),D31+C32,NA())</f>
        <v>#N/A</v>
      </c>
      <c r="E32" s="4" t="str">
        <f>IF(B32&lt;('2. Inputs and results'!$B$21+1),C32/((1+$P$2)^A32)," ")</f>
        <v xml:space="preserve"> </v>
      </c>
      <c r="F32" s="4" t="str">
        <f>IF(A32&lt;('2. Inputs and results'!$B$21+1),F31+E32," ")</f>
        <v xml:space="preserve"> </v>
      </c>
      <c r="G32" s="4" t="str">
        <f>IF(A32&lt;('2. Inputs and results'!$B$21+1),G31*(1+'2. Inputs and results'!$B$44)," ")</f>
        <v xml:space="preserve"> </v>
      </c>
      <c r="H32" s="4" t="str">
        <f>IF(A32&lt;('2. Inputs and results'!$B$21+1),H31*(1+'2. Inputs and results'!$B$56)," ")</f>
        <v xml:space="preserve"> </v>
      </c>
      <c r="I32" s="4" t="str">
        <f>IF(A32&lt;('2. Inputs and results'!$B$21+1),I31*(1+'2. Inputs and results'!$B$32)," ")</f>
        <v xml:space="preserve"> </v>
      </c>
      <c r="J32" s="4" t="str">
        <f>IF(A32&lt;('2. Inputs and results'!$B$21+1),J31*(1+'2. Inputs and results'!$B$66)," ")</f>
        <v xml:space="preserve"> </v>
      </c>
      <c r="K32" s="4" t="e">
        <f>IF('Solution 1, (hidden)'!A32&lt;('2. Inputs and results'!$B$21+1),K31+(G32+I32+H32+J32),NA())</f>
        <v>#N/A</v>
      </c>
      <c r="L32" s="4" t="e">
        <f>IF(A32&lt;('2. Inputs and results'!$B$21+1),L31,NA())</f>
        <v>#N/A</v>
      </c>
      <c r="M32" s="4" t="str">
        <f>IF(A32&lt;('2. Inputs and results'!$B$21+1),'2. Inputs and results'!$B$75*'2. Inputs and results'!$B$73," ")</f>
        <v xml:space="preserve"> </v>
      </c>
      <c r="N32" s="4" t="str">
        <f>IF(A32&lt;('2. Inputs and results'!$B$21+1),M32/((1+$P$2)^A32)," ")</f>
        <v xml:space="preserve"> </v>
      </c>
      <c r="O32" s="4" t="str">
        <f>IF(A32&lt;('2. Inputs and results'!$B$21+1),'2. Inputs and results'!$B$73*'2. Inputs and results'!$B$75+O31," ")</f>
        <v xml:space="preserve"> </v>
      </c>
      <c r="P32" s="4" t="str">
        <f>IF(A32&lt;('2. Inputs and results'!$B$21+1),(G32+I32+H32+J32)/((1+$P$2)^A32)," ")</f>
        <v xml:space="preserve"> </v>
      </c>
      <c r="Q32" s="4" t="str">
        <f>IF(A32&lt;('2. Inputs and results'!$B$21+1),Q31+P32," ")</f>
        <v xml:space="preserve"> </v>
      </c>
      <c r="R32" s="4" t="e">
        <f>IF(A32&lt;('2. Inputs and results'!$B$21+1),R31+G32+I32+J32+H32+T32-$V$6,NA())</f>
        <v>#N/A</v>
      </c>
      <c r="S32" s="4" t="str">
        <f>IF(A32&lt;('2. Inputs and results'!$B$21+1),'2. Inputs and results'!$B$79*(R31)," ")</f>
        <v xml:space="preserve"> </v>
      </c>
      <c r="T32" s="4">
        <f t="shared" si="1"/>
        <v>0</v>
      </c>
      <c r="U32" s="4" t="e">
        <f>IF(A32&lt;('2. Inputs and results'!$B$21+1),U31+(T32+I32+G32+H32+J32-$V$6)/((1+$P$2)^A32),NA())</f>
        <v>#N/A</v>
      </c>
      <c r="V32" s="4" t="str">
        <f>IF(A32&lt;('2. Inputs and results'!$B$21+1),V31+('2. Inputs and results'!$B$75*'2. Inputs and results'!$B$73)," ")</f>
        <v xml:space="preserve"> </v>
      </c>
      <c r="W32" s="4" t="e">
        <f>IF(A32&lt;('2. Inputs and results'!$B$21+1),W31+C32+Y32-$V$6,NA())</f>
        <v>#N/A</v>
      </c>
      <c r="X32" s="4" t="str">
        <f>IF(A32&lt;('2. Inputs and results'!$B$21+1),'2. Inputs and results'!$B$79*W31," ")</f>
        <v xml:space="preserve"> </v>
      </c>
      <c r="Y32" s="4">
        <f t="shared" si="2"/>
        <v>0</v>
      </c>
      <c r="Z32" s="4" t="e">
        <f>IF(A32&lt;('2. Inputs and results'!$B$21+1),Z31+(C32-$V$6+Y32)/((1+$P$2)^A32),NA())</f>
        <v>#N/A</v>
      </c>
      <c r="AA32" s="4" t="str">
        <f>IF(A32&lt;('2. Inputs and results'!$B$21+1),AA31+(G32+I32+H32+T32-$V$6)," ")</f>
        <v xml:space="preserve"> </v>
      </c>
      <c r="AB32" s="20" t="e">
        <f>IF(A32&lt;('2. Inputs and results'!$B$21+1),AA32/L32,NA())</f>
        <v>#N/A</v>
      </c>
      <c r="AC32" s="29" t="str">
        <f>IF(A32&lt;('2. Inputs and results'!$B$21+1),AC31+(C32+Y32-$V$6)," ")</f>
        <v xml:space="preserve"> </v>
      </c>
      <c r="AD32" s="20" t="e">
        <f>IF(A32&lt;('2. Inputs and results'!$B$21+1),AC32/L32,NA())</f>
        <v>#N/A</v>
      </c>
      <c r="AE32" t="str">
        <f>IF(A32&lt;('2. Inputs and results'!$B$21+1),-'2. Inputs and results'!$B$121*A32," ")</f>
        <v xml:space="preserve"> </v>
      </c>
      <c r="AF32" t="e">
        <f>IF(A32&lt;('2. Inputs and results'!$B$21+1),AE32/1000,NA())</f>
        <v>#N/A</v>
      </c>
    </row>
    <row r="33" spans="1:32" x14ac:dyDescent="0.25">
      <c r="A33">
        <f t="shared" si="0"/>
        <v>28</v>
      </c>
      <c r="B33" t="str">
        <f>IF(A33&lt;('2. Inputs and results'!$B$21+1),A33," ")</f>
        <v xml:space="preserve"> </v>
      </c>
      <c r="C33" s="4" t="str">
        <f>IF(A33&lt;('2. Inputs and results'!$B$21+1),'2. Inputs and results'!$B$99+'2. Inputs and results'!$B$101," ")</f>
        <v xml:space="preserve"> </v>
      </c>
      <c r="D33" s="4" t="e">
        <f>IF(A33&lt;('2. Inputs and results'!$B$21+1),D32+C33,NA())</f>
        <v>#N/A</v>
      </c>
      <c r="E33" s="4" t="str">
        <f>IF(B33&lt;('2. Inputs and results'!$B$21+1),C33/((1+$P$2)^A33)," ")</f>
        <v xml:space="preserve"> </v>
      </c>
      <c r="F33" s="4" t="str">
        <f>IF(A33&lt;('2. Inputs and results'!$B$21+1),F32+E33," ")</f>
        <v xml:space="preserve"> </v>
      </c>
      <c r="G33" s="4" t="str">
        <f>IF(A33&lt;('2. Inputs and results'!$B$21+1),G32*(1+'2. Inputs and results'!$B$44)," ")</f>
        <v xml:space="preserve"> </v>
      </c>
      <c r="H33" s="4" t="str">
        <f>IF(A33&lt;('2. Inputs and results'!$B$21+1),H32*(1+'2. Inputs and results'!$B$56)," ")</f>
        <v xml:space="preserve"> </v>
      </c>
      <c r="I33" s="4" t="str">
        <f>IF(A33&lt;('2. Inputs and results'!$B$21+1),I32*(1+'2. Inputs and results'!$B$32)," ")</f>
        <v xml:space="preserve"> </v>
      </c>
      <c r="J33" s="4" t="str">
        <f>IF(A33&lt;('2. Inputs and results'!$B$21+1),J32*(1+'2. Inputs and results'!$B$66)," ")</f>
        <v xml:space="preserve"> </v>
      </c>
      <c r="K33" s="4" t="e">
        <f>IF('Solution 1, (hidden)'!A33&lt;('2. Inputs and results'!$B$21+1),K32+(G33+I33+H33+J33),NA())</f>
        <v>#N/A</v>
      </c>
      <c r="L33" s="4" t="e">
        <f>IF(A33&lt;('2. Inputs and results'!$B$21+1),L32,NA())</f>
        <v>#N/A</v>
      </c>
      <c r="M33" s="4" t="str">
        <f>IF(A33&lt;('2. Inputs and results'!$B$21+1),'2. Inputs and results'!$B$75*'2. Inputs and results'!$B$73," ")</f>
        <v xml:space="preserve"> </v>
      </c>
      <c r="N33" s="4" t="str">
        <f>IF(A33&lt;('2. Inputs and results'!$B$21+1),M33/((1+$P$2)^A33)," ")</f>
        <v xml:space="preserve"> </v>
      </c>
      <c r="O33" s="4" t="str">
        <f>IF(A33&lt;('2. Inputs and results'!$B$21+1),'2. Inputs and results'!$B$73*'2. Inputs and results'!$B$75+O32," ")</f>
        <v xml:space="preserve"> </v>
      </c>
      <c r="P33" s="4" t="str">
        <f>IF(A33&lt;('2. Inputs and results'!$B$21+1),(G33+I33+H33+J33)/((1+$P$2)^A33)," ")</f>
        <v xml:space="preserve"> </v>
      </c>
      <c r="Q33" s="4" t="str">
        <f>IF(A33&lt;('2. Inputs and results'!$B$21+1),Q32+P33," ")</f>
        <v xml:space="preserve"> </v>
      </c>
      <c r="R33" s="4" t="e">
        <f>IF(A33&lt;('2. Inputs and results'!$B$21+1),R32+G33+I33+J33+H33+T33-$V$6,NA())</f>
        <v>#N/A</v>
      </c>
      <c r="S33" s="4" t="str">
        <f>IF(A33&lt;('2. Inputs and results'!$B$21+1),'2. Inputs and results'!$B$79*(R32)," ")</f>
        <v xml:space="preserve"> </v>
      </c>
      <c r="T33" s="4">
        <f t="shared" si="1"/>
        <v>0</v>
      </c>
      <c r="U33" s="4" t="e">
        <f>IF(A33&lt;('2. Inputs and results'!$B$21+1),U32+(T33+I33+G33+H33+J33-$V$6)/((1+$P$2)^A33),NA())</f>
        <v>#N/A</v>
      </c>
      <c r="V33" s="4" t="str">
        <f>IF(A33&lt;('2. Inputs and results'!$B$21+1),V32+('2. Inputs and results'!$B$75*'2. Inputs and results'!$B$73)," ")</f>
        <v xml:space="preserve"> </v>
      </c>
      <c r="W33" s="4" t="e">
        <f>IF(A33&lt;('2. Inputs and results'!$B$21+1),W32+C33+Y33-$V$6,NA())</f>
        <v>#N/A</v>
      </c>
      <c r="X33" s="4" t="str">
        <f>IF(A33&lt;('2. Inputs and results'!$B$21+1),'2. Inputs and results'!$B$79*W32," ")</f>
        <v xml:space="preserve"> </v>
      </c>
      <c r="Y33" s="4">
        <f t="shared" si="2"/>
        <v>0</v>
      </c>
      <c r="Z33" s="4" t="e">
        <f>IF(A33&lt;('2. Inputs and results'!$B$21+1),Z32+(C33-$V$6+Y33)/((1+$P$2)^A33),NA())</f>
        <v>#N/A</v>
      </c>
      <c r="AA33" s="4" t="str">
        <f>IF(A33&lt;('2. Inputs and results'!$B$21+1),AA32+(G33+I33+H33+T33-$V$6)," ")</f>
        <v xml:space="preserve"> </v>
      </c>
      <c r="AB33" s="20" t="e">
        <f>IF(A33&lt;('2. Inputs and results'!$B$21+1),AA33/L33,NA())</f>
        <v>#N/A</v>
      </c>
      <c r="AC33" s="29" t="str">
        <f>IF(A33&lt;('2. Inputs and results'!$B$21+1),AC32+(C33+Y33-$V$6)," ")</f>
        <v xml:space="preserve"> </v>
      </c>
      <c r="AD33" s="20" t="e">
        <f>IF(A33&lt;('2. Inputs and results'!$B$21+1),AC33/L33,NA())</f>
        <v>#N/A</v>
      </c>
      <c r="AE33" t="str">
        <f>IF(A33&lt;('2. Inputs and results'!$B$21+1),-'2. Inputs and results'!$B$121*A33," ")</f>
        <v xml:space="preserve"> </v>
      </c>
      <c r="AF33" t="e">
        <f>IF(A33&lt;('2. Inputs and results'!$B$21+1),AE33/1000,NA())</f>
        <v>#N/A</v>
      </c>
    </row>
    <row r="34" spans="1:32" x14ac:dyDescent="0.25">
      <c r="A34">
        <f t="shared" si="0"/>
        <v>29</v>
      </c>
      <c r="B34" t="str">
        <f>IF(A34&lt;('2. Inputs and results'!$B$21+1),A34," ")</f>
        <v xml:space="preserve"> </v>
      </c>
      <c r="C34" s="4" t="str">
        <f>IF(A34&lt;('2. Inputs and results'!$B$21+1),'2. Inputs and results'!$B$99+'2. Inputs and results'!$B$101," ")</f>
        <v xml:space="preserve"> </v>
      </c>
      <c r="D34" s="4" t="e">
        <f>IF(A34&lt;('2. Inputs and results'!$B$21+1),D33+C34,NA())</f>
        <v>#N/A</v>
      </c>
      <c r="E34" s="4" t="str">
        <f>IF(B34&lt;('2. Inputs and results'!$B$21+1),C34/((1+$P$2)^A34)," ")</f>
        <v xml:space="preserve"> </v>
      </c>
      <c r="F34" s="4" t="str">
        <f>IF(A34&lt;('2. Inputs and results'!$B$21+1),F33+E34," ")</f>
        <v xml:space="preserve"> </v>
      </c>
      <c r="G34" s="4" t="str">
        <f>IF(A34&lt;('2. Inputs and results'!$B$21+1),G33*(1+'2. Inputs and results'!$B$44)," ")</f>
        <v xml:space="preserve"> </v>
      </c>
      <c r="H34" s="4" t="str">
        <f>IF(A34&lt;('2. Inputs and results'!$B$21+1),H33*(1+'2. Inputs and results'!$B$56)," ")</f>
        <v xml:space="preserve"> </v>
      </c>
      <c r="I34" s="4" t="str">
        <f>IF(A34&lt;('2. Inputs and results'!$B$21+1),I33*(1+'2. Inputs and results'!$B$32)," ")</f>
        <v xml:space="preserve"> </v>
      </c>
      <c r="J34" s="4" t="str">
        <f>IF(A34&lt;('2. Inputs and results'!$B$21+1),J33*(1+'2. Inputs and results'!$B$66)," ")</f>
        <v xml:space="preserve"> </v>
      </c>
      <c r="K34" s="4" t="e">
        <f>IF('Solution 1, (hidden)'!A34&lt;('2. Inputs and results'!$B$21+1),K33+(G34+I34+H34+J34),NA())</f>
        <v>#N/A</v>
      </c>
      <c r="L34" s="4" t="e">
        <f>IF(A34&lt;('2. Inputs and results'!$B$21+1),L33,NA())</f>
        <v>#N/A</v>
      </c>
      <c r="M34" s="4" t="str">
        <f>IF(A34&lt;('2. Inputs and results'!$B$21+1),'2. Inputs and results'!$B$75*'2. Inputs and results'!$B$73," ")</f>
        <v xml:space="preserve"> </v>
      </c>
      <c r="N34" s="4" t="str">
        <f>IF(A34&lt;('2. Inputs and results'!$B$21+1),M34/((1+$P$2)^A34)," ")</f>
        <v xml:space="preserve"> </v>
      </c>
      <c r="O34" s="4" t="str">
        <f>IF(A34&lt;('2. Inputs and results'!$B$21+1),'2. Inputs and results'!$B$73*'2. Inputs and results'!$B$75+O33," ")</f>
        <v xml:space="preserve"> </v>
      </c>
      <c r="P34" s="4" t="str">
        <f>IF(A34&lt;('2. Inputs and results'!$B$21+1),(G34+I34+H34+J34)/((1+$P$2)^A34)," ")</f>
        <v xml:space="preserve"> </v>
      </c>
      <c r="Q34" s="4" t="str">
        <f>IF(A34&lt;('2. Inputs and results'!$B$21+1),Q33+P34," ")</f>
        <v xml:space="preserve"> </v>
      </c>
      <c r="R34" s="4" t="e">
        <f>IF(A34&lt;('2. Inputs and results'!$B$21+1),R33+G34+I34+J34+H34+T34-$V$6,NA())</f>
        <v>#N/A</v>
      </c>
      <c r="S34" s="4" t="str">
        <f>IF(A34&lt;('2. Inputs and results'!$B$21+1),'2. Inputs and results'!$B$79*(R33)," ")</f>
        <v xml:space="preserve"> </v>
      </c>
      <c r="T34" s="4">
        <f t="shared" si="1"/>
        <v>0</v>
      </c>
      <c r="U34" s="4" t="e">
        <f>IF(A34&lt;('2. Inputs and results'!$B$21+1),U33+(T34+I34+G34+H34+J34-$V$6)/((1+$P$2)^A34),NA())</f>
        <v>#N/A</v>
      </c>
      <c r="V34" s="4" t="str">
        <f>IF(A34&lt;('2. Inputs and results'!$B$21+1),V33+('2. Inputs and results'!$B$75*'2. Inputs and results'!$B$73)," ")</f>
        <v xml:space="preserve"> </v>
      </c>
      <c r="W34" s="4" t="e">
        <f>IF(A34&lt;('2. Inputs and results'!$B$21+1),W33+C34+Y34-$V$6,NA())</f>
        <v>#N/A</v>
      </c>
      <c r="X34" s="4" t="str">
        <f>IF(A34&lt;('2. Inputs and results'!$B$21+1),'2. Inputs and results'!$B$79*W33," ")</f>
        <v xml:space="preserve"> </v>
      </c>
      <c r="Y34" s="4">
        <f t="shared" si="2"/>
        <v>0</v>
      </c>
      <c r="Z34" s="4" t="e">
        <f>IF(A34&lt;('2. Inputs and results'!$B$21+1),Z33+(C34-$V$6+Y34)/((1+$P$2)^A34),NA())</f>
        <v>#N/A</v>
      </c>
      <c r="AA34" s="4" t="str">
        <f>IF(A34&lt;('2. Inputs and results'!$B$21+1),AA33+(G34+I34+H34+T34-$V$6)," ")</f>
        <v xml:space="preserve"> </v>
      </c>
      <c r="AB34" s="20" t="e">
        <f>IF(A34&lt;('2. Inputs and results'!$B$21+1),AA34/L34,NA())</f>
        <v>#N/A</v>
      </c>
      <c r="AC34" s="29" t="str">
        <f>IF(A34&lt;('2. Inputs and results'!$B$21+1),AC33+(C34+Y34-$V$6)," ")</f>
        <v xml:space="preserve"> </v>
      </c>
      <c r="AD34" s="20" t="e">
        <f>IF(A34&lt;('2. Inputs and results'!$B$21+1),AC34/L34,NA())</f>
        <v>#N/A</v>
      </c>
      <c r="AE34" t="str">
        <f>IF(A34&lt;('2. Inputs and results'!$B$21+1),-'2. Inputs and results'!$B$121*A34," ")</f>
        <v xml:space="preserve"> </v>
      </c>
      <c r="AF34" t="e">
        <f>IF(A34&lt;('2. Inputs and results'!$B$21+1),AE34/1000,NA())</f>
        <v>#N/A</v>
      </c>
    </row>
    <row r="35" spans="1:32" x14ac:dyDescent="0.25">
      <c r="A35">
        <f t="shared" si="0"/>
        <v>30</v>
      </c>
      <c r="B35" t="str">
        <f>IF(A35&lt;('2. Inputs and results'!$B$21+1),A35," ")</f>
        <v xml:space="preserve"> </v>
      </c>
      <c r="C35" s="4" t="str">
        <f>IF(A35&lt;('2. Inputs and results'!$B$21+1),'2. Inputs and results'!$B$99+'2. Inputs and results'!$B$101," ")</f>
        <v xml:space="preserve"> </v>
      </c>
      <c r="D35" s="4" t="e">
        <f>IF(A35&lt;('2. Inputs and results'!$B$21+1),D34+C35,NA())</f>
        <v>#N/A</v>
      </c>
      <c r="E35" s="4" t="str">
        <f>IF(B35&lt;('2. Inputs and results'!$B$21+1),C35/((1+$P$2)^A35)," ")</f>
        <v xml:space="preserve"> </v>
      </c>
      <c r="F35" s="4" t="str">
        <f>IF(A35&lt;('2. Inputs and results'!$B$21+1),F34+E35," ")</f>
        <v xml:space="preserve"> </v>
      </c>
      <c r="G35" s="4" t="str">
        <f>IF(A35&lt;('2. Inputs and results'!$B$21+1),G34*(1+'2. Inputs and results'!$B$44)," ")</f>
        <v xml:space="preserve"> </v>
      </c>
      <c r="H35" s="4" t="str">
        <f>IF(A35&lt;('2. Inputs and results'!$B$21+1),H34*(1+'2. Inputs and results'!$B$56)," ")</f>
        <v xml:space="preserve"> </v>
      </c>
      <c r="I35" s="4" t="str">
        <f>IF(A35&lt;('2. Inputs and results'!$B$21+1),I34*(1+'2. Inputs and results'!$B$32)," ")</f>
        <v xml:space="preserve"> </v>
      </c>
      <c r="J35" s="4" t="str">
        <f>IF(A35&lt;('2. Inputs and results'!$B$21+1),J34*(1+'2. Inputs and results'!$B$66)," ")</f>
        <v xml:space="preserve"> </v>
      </c>
      <c r="K35" s="4" t="e">
        <f>IF('Solution 1, (hidden)'!A35&lt;('2. Inputs and results'!$B$21+1),K34+(G35+I35+H35+J35),NA())</f>
        <v>#N/A</v>
      </c>
      <c r="L35" s="4" t="e">
        <f>IF(A35&lt;('2. Inputs and results'!$B$21+1),L34,NA())</f>
        <v>#N/A</v>
      </c>
      <c r="M35" s="4" t="str">
        <f>IF(A35&lt;('2. Inputs and results'!$B$21+1),'2. Inputs and results'!$B$75*'2. Inputs and results'!$B$73," ")</f>
        <v xml:space="preserve"> </v>
      </c>
      <c r="N35" s="4" t="str">
        <f>IF(A35&lt;('2. Inputs and results'!$B$21+1),M35/((1+$P$2)^A35)," ")</f>
        <v xml:space="preserve"> </v>
      </c>
      <c r="O35" s="4" t="str">
        <f>IF(A35&lt;('2. Inputs and results'!$B$21+1),'2. Inputs and results'!$B$73*'2. Inputs and results'!$B$75+O34," ")</f>
        <v xml:space="preserve"> </v>
      </c>
      <c r="P35" s="4" t="str">
        <f>IF(A35&lt;('2. Inputs and results'!$B$21+1),(G35+I35+H35+J35)/((1+$P$2)^A35)," ")</f>
        <v xml:space="preserve"> </v>
      </c>
      <c r="Q35" s="4" t="str">
        <f>IF(A35&lt;('2. Inputs and results'!$B$21+1),Q34+P35," ")</f>
        <v xml:space="preserve"> </v>
      </c>
      <c r="R35" s="4" t="e">
        <f>IF(A35&lt;('2. Inputs and results'!$B$21+1),R34+G35+I35+J35+H35+T35-$V$6,NA())</f>
        <v>#N/A</v>
      </c>
      <c r="S35" s="4" t="str">
        <f>IF(A35&lt;('2. Inputs and results'!$B$21+1),'2. Inputs and results'!$B$79*(R34)," ")</f>
        <v xml:space="preserve"> </v>
      </c>
      <c r="T35" s="4">
        <f t="shared" si="1"/>
        <v>0</v>
      </c>
      <c r="U35" s="4" t="e">
        <f>IF(A35&lt;('2. Inputs and results'!$B$21+1),U34+(T35+I35+G35+H35+J35-$V$6)/((1+$P$2)^A35),NA())</f>
        <v>#N/A</v>
      </c>
      <c r="V35" s="4" t="str">
        <f>IF(A35&lt;('2. Inputs and results'!$B$21+1),V34+('2. Inputs and results'!$B$75*'2. Inputs and results'!$B$73)," ")</f>
        <v xml:space="preserve"> </v>
      </c>
      <c r="W35" s="4" t="e">
        <f>IF(A35&lt;('2. Inputs and results'!$B$21+1),W34+C35+Y35-$V$6,NA())</f>
        <v>#N/A</v>
      </c>
      <c r="X35" s="4" t="str">
        <f>IF(A35&lt;('2. Inputs and results'!$B$21+1),'2. Inputs and results'!$B$79*W34," ")</f>
        <v xml:space="preserve"> </v>
      </c>
      <c r="Y35" s="4">
        <f t="shared" si="2"/>
        <v>0</v>
      </c>
      <c r="Z35" s="4" t="e">
        <f>IF(A35&lt;('2. Inputs and results'!$B$21+1),Z34+(C35-$V$6+Y35)/((1+$P$2)^A35),NA())</f>
        <v>#N/A</v>
      </c>
      <c r="AA35" s="4" t="str">
        <f>IF(A35&lt;('2. Inputs and results'!$B$21+1),AA34+(G35+I35+H35+T35-$V$6)," ")</f>
        <v xml:space="preserve"> </v>
      </c>
      <c r="AB35" s="20" t="e">
        <f>IF(A35&lt;('2. Inputs and results'!$B$21+1),AA35/L35,NA())</f>
        <v>#N/A</v>
      </c>
      <c r="AC35" s="29" t="str">
        <f>IF(A35&lt;('2. Inputs and results'!$B$21+1),AC34+(C35+Y35-$V$6)," ")</f>
        <v xml:space="preserve"> </v>
      </c>
      <c r="AD35" s="20" t="e">
        <f>IF(A35&lt;('2. Inputs and results'!$B$21+1),AC35/L35,NA())</f>
        <v>#N/A</v>
      </c>
      <c r="AE35" t="str">
        <f>IF(A35&lt;('2. Inputs and results'!$B$21+1),-'2. Inputs and results'!$B$121*A35," ")</f>
        <v xml:space="preserve"> </v>
      </c>
      <c r="AF35" t="e">
        <f>IF(A35&lt;('2. Inputs and results'!$B$21+1),AE35/1000,NA())</f>
        <v>#N/A</v>
      </c>
    </row>
    <row r="36" spans="1:32" x14ac:dyDescent="0.25">
      <c r="A36">
        <f t="shared" si="0"/>
        <v>31</v>
      </c>
      <c r="B36" t="str">
        <f>IF(A36&lt;('2. Inputs and results'!$B$21+1),A36," ")</f>
        <v xml:space="preserve"> </v>
      </c>
      <c r="C36" s="4" t="str">
        <f>IF(A36&lt;('2. Inputs and results'!$B$21+1),'2. Inputs and results'!$B$99+'2. Inputs and results'!$B$101," ")</f>
        <v xml:space="preserve"> </v>
      </c>
      <c r="D36" s="4" t="e">
        <f>IF(A36&lt;('2. Inputs and results'!$B$21+1),D35+C36,NA())</f>
        <v>#N/A</v>
      </c>
      <c r="E36" s="4" t="str">
        <f>IF(B36&lt;('2. Inputs and results'!$B$21+1),C36/((1+$P$2)^A36)," ")</f>
        <v xml:space="preserve"> </v>
      </c>
      <c r="F36" s="4" t="str">
        <f>IF(A36&lt;('2. Inputs and results'!$B$21+1),F35+E36," ")</f>
        <v xml:space="preserve"> </v>
      </c>
      <c r="G36" s="4" t="str">
        <f>IF(A36&lt;('2. Inputs and results'!$B$21+1),G35*(1+'2. Inputs and results'!$B$44)," ")</f>
        <v xml:space="preserve"> </v>
      </c>
      <c r="H36" s="4" t="str">
        <f>IF(A36&lt;('2. Inputs and results'!$B$21+1),H35*(1+'2. Inputs and results'!$B$56)," ")</f>
        <v xml:space="preserve"> </v>
      </c>
      <c r="I36" s="4" t="str">
        <f>IF(A36&lt;('2. Inputs and results'!$B$21+1),I35*(1+'2. Inputs and results'!$B$32)," ")</f>
        <v xml:space="preserve"> </v>
      </c>
      <c r="J36" s="4" t="str">
        <f>IF(A36&lt;('2. Inputs and results'!$B$21+1),J35*(1+'2. Inputs and results'!$B$66)," ")</f>
        <v xml:space="preserve"> </v>
      </c>
      <c r="K36" s="4" t="e">
        <f>IF('Solution 1, (hidden)'!A36&lt;('2. Inputs and results'!$B$21+1),K35+(G36+I36+H36+J36),NA())</f>
        <v>#N/A</v>
      </c>
      <c r="L36" s="4" t="e">
        <f>IF(A36&lt;('2. Inputs and results'!$B$21+1),L35,NA())</f>
        <v>#N/A</v>
      </c>
      <c r="M36" s="4" t="str">
        <f>IF(A36&lt;('2. Inputs and results'!$B$21+1),'2. Inputs and results'!$B$75*'2. Inputs and results'!$B$73," ")</f>
        <v xml:space="preserve"> </v>
      </c>
      <c r="N36" s="4" t="str">
        <f>IF(A36&lt;('2. Inputs and results'!$B$21+1),M36/((1+$P$2)^A36)," ")</f>
        <v xml:space="preserve"> </v>
      </c>
      <c r="O36" s="4" t="str">
        <f>IF(A36&lt;('2. Inputs and results'!$B$21+1),'2. Inputs and results'!$B$73*'2. Inputs and results'!$B$75+O35," ")</f>
        <v xml:space="preserve"> </v>
      </c>
      <c r="P36" s="4" t="str">
        <f>IF(A36&lt;('2. Inputs and results'!$B$21+1),(G36+I36+H36+J36)/((1+$P$2)^A36)," ")</f>
        <v xml:space="preserve"> </v>
      </c>
      <c r="Q36" s="4" t="str">
        <f>IF(A36&lt;('2. Inputs and results'!$B$21+1),Q35+P36," ")</f>
        <v xml:space="preserve"> </v>
      </c>
      <c r="R36" s="4" t="e">
        <f>IF(A36&lt;('2. Inputs and results'!$B$21+1),R35+G36+I36+J36+H36+T36-$V$6,NA())</f>
        <v>#N/A</v>
      </c>
      <c r="S36" s="4" t="str">
        <f>IF(A36&lt;('2. Inputs and results'!$B$21+1),'2. Inputs and results'!$B$79*(R35)," ")</f>
        <v xml:space="preserve"> </v>
      </c>
      <c r="T36" s="4">
        <f t="shared" si="1"/>
        <v>0</v>
      </c>
      <c r="U36" s="4" t="e">
        <f>IF(A36&lt;('2. Inputs and results'!$B$21+1),U35+(T36+I36+G36+H36+J36-$V$6)/((1+$P$2)^A36),NA())</f>
        <v>#N/A</v>
      </c>
      <c r="V36" s="4" t="str">
        <f>IF(A36&lt;('2. Inputs and results'!$B$21+1),V35+('2. Inputs and results'!$B$75*'2. Inputs and results'!$B$73)," ")</f>
        <v xml:space="preserve"> </v>
      </c>
      <c r="W36" s="4" t="e">
        <f>IF(A36&lt;('2. Inputs and results'!$B$21+1),W35+C36+Y36-$V$6,NA())</f>
        <v>#N/A</v>
      </c>
      <c r="X36" s="4" t="str">
        <f>IF(A36&lt;('2. Inputs and results'!$B$21+1),'2. Inputs and results'!$B$79*W35," ")</f>
        <v xml:space="preserve"> </v>
      </c>
      <c r="Y36" s="4">
        <f t="shared" si="2"/>
        <v>0</v>
      </c>
      <c r="Z36" s="4" t="e">
        <f>IF(A36&lt;('2. Inputs and results'!$B$21+1),Z35+(C36-$V$6+Y36)/((1+$P$2)^A36),NA())</f>
        <v>#N/A</v>
      </c>
      <c r="AA36" s="4" t="str">
        <f>IF(A36&lt;('2. Inputs and results'!$B$21+1),AA35+(G36+I36+H36+T36-$V$6)," ")</f>
        <v xml:space="preserve"> </v>
      </c>
      <c r="AB36" s="20" t="e">
        <f>IF(A36&lt;('2. Inputs and results'!$B$21+1),AA36/L36,NA())</f>
        <v>#N/A</v>
      </c>
      <c r="AC36" s="29" t="str">
        <f>IF(A36&lt;('2. Inputs and results'!$B$21+1),AC35+(C36+Y36-$V$6)," ")</f>
        <v xml:space="preserve"> </v>
      </c>
      <c r="AD36" s="20" t="e">
        <f>IF(A36&lt;('2. Inputs and results'!$B$21+1),AC36/L36,NA())</f>
        <v>#N/A</v>
      </c>
      <c r="AE36" t="str">
        <f>IF(A36&lt;('2. Inputs and results'!$B$21+1),-'2. Inputs and results'!$B$121*A36," ")</f>
        <v xml:space="preserve"> </v>
      </c>
      <c r="AF36" t="e">
        <f>IF(A36&lt;('2. Inputs and results'!$B$21+1),AE36/1000,NA())</f>
        <v>#N/A</v>
      </c>
    </row>
    <row r="37" spans="1:32" x14ac:dyDescent="0.25">
      <c r="A37">
        <f t="shared" si="0"/>
        <v>32</v>
      </c>
      <c r="B37" t="str">
        <f>IF(A37&lt;('2. Inputs and results'!$B$21+1),A37," ")</f>
        <v xml:space="preserve"> </v>
      </c>
      <c r="C37" s="4" t="str">
        <f>IF(A37&lt;('2. Inputs and results'!$B$21+1),'2. Inputs and results'!$B$99+'2. Inputs and results'!$B$101," ")</f>
        <v xml:space="preserve"> </v>
      </c>
      <c r="D37" s="4" t="e">
        <f>IF(A37&lt;('2. Inputs and results'!$B$21+1),D36+C37,NA())</f>
        <v>#N/A</v>
      </c>
      <c r="E37" s="4" t="str">
        <f>IF(B37&lt;('2. Inputs and results'!$B$21+1),C37/((1+$P$2)^A37)," ")</f>
        <v xml:space="preserve"> </v>
      </c>
      <c r="F37" s="4" t="str">
        <f>IF(A37&lt;('2. Inputs and results'!$B$21+1),F36+E37," ")</f>
        <v xml:space="preserve"> </v>
      </c>
      <c r="G37" s="4" t="str">
        <f>IF(A37&lt;('2. Inputs and results'!$B$21+1),G36*(1+'2. Inputs and results'!$B$44)," ")</f>
        <v xml:space="preserve"> </v>
      </c>
      <c r="H37" s="4" t="str">
        <f>IF(A37&lt;('2. Inputs and results'!$B$21+1),H36*(1+'2. Inputs and results'!$B$56)," ")</f>
        <v xml:space="preserve"> </v>
      </c>
      <c r="I37" s="4" t="str">
        <f>IF(A37&lt;('2. Inputs and results'!$B$21+1),I36*(1+'2. Inputs and results'!$B$32)," ")</f>
        <v xml:space="preserve"> </v>
      </c>
      <c r="J37" s="4" t="str">
        <f>IF(A37&lt;('2. Inputs and results'!$B$21+1),J36*(1+'2. Inputs and results'!$B$66)," ")</f>
        <v xml:space="preserve"> </v>
      </c>
      <c r="K37" s="4" t="e">
        <f>IF('Solution 1, (hidden)'!A37&lt;('2. Inputs and results'!$B$21+1),K36+(G37+I37+H37+J37),NA())</f>
        <v>#N/A</v>
      </c>
      <c r="L37" s="4" t="e">
        <f>IF(A37&lt;('2. Inputs and results'!$B$21+1),L36,NA())</f>
        <v>#N/A</v>
      </c>
      <c r="M37" s="4" t="str">
        <f>IF(A37&lt;('2. Inputs and results'!$B$21+1),'2. Inputs and results'!$B$75*'2. Inputs and results'!$B$73," ")</f>
        <v xml:space="preserve"> </v>
      </c>
      <c r="N37" s="4" t="str">
        <f>IF(A37&lt;('2. Inputs and results'!$B$21+1),M37/((1+$P$2)^A37)," ")</f>
        <v xml:space="preserve"> </v>
      </c>
      <c r="O37" s="4" t="str">
        <f>IF(A37&lt;('2. Inputs and results'!$B$21+1),'2. Inputs and results'!$B$73*'2. Inputs and results'!$B$75+O36," ")</f>
        <v xml:space="preserve"> </v>
      </c>
      <c r="P37" s="4" t="str">
        <f>IF(A37&lt;('2. Inputs and results'!$B$21+1),(G37+I37+H37+J37)/((1+$P$2)^A37)," ")</f>
        <v xml:space="preserve"> </v>
      </c>
      <c r="Q37" s="4" t="str">
        <f>IF(A37&lt;('2. Inputs and results'!$B$21+1),Q36+P37," ")</f>
        <v xml:space="preserve"> </v>
      </c>
      <c r="R37" s="4" t="e">
        <f>IF(A37&lt;('2. Inputs and results'!$B$21+1),R36+G37+I37+J37+H37+T37-$V$6,NA())</f>
        <v>#N/A</v>
      </c>
      <c r="S37" s="4" t="str">
        <f>IF(A37&lt;('2. Inputs and results'!$B$21+1),'2. Inputs and results'!$B$79*(R36)," ")</f>
        <v xml:space="preserve"> </v>
      </c>
      <c r="T37" s="4">
        <f t="shared" si="1"/>
        <v>0</v>
      </c>
      <c r="U37" s="4" t="e">
        <f>IF(A37&lt;('2. Inputs and results'!$B$21+1),U36+(T37+I37+G37+H37+J37-$V$6)/((1+$P$2)^A37),NA())</f>
        <v>#N/A</v>
      </c>
      <c r="V37" s="4" t="str">
        <f>IF(A37&lt;('2. Inputs and results'!$B$21+1),V36+('2. Inputs and results'!$B$75*'2. Inputs and results'!$B$73)," ")</f>
        <v xml:space="preserve"> </v>
      </c>
      <c r="W37" s="4" t="e">
        <f>IF(A37&lt;('2. Inputs and results'!$B$21+1),W36+C37+Y37-$V$6,NA())</f>
        <v>#N/A</v>
      </c>
      <c r="X37" s="4" t="str">
        <f>IF(A37&lt;('2. Inputs and results'!$B$21+1),'2. Inputs and results'!$B$79*W36," ")</f>
        <v xml:space="preserve"> </v>
      </c>
      <c r="Y37" s="4">
        <f t="shared" si="2"/>
        <v>0</v>
      </c>
      <c r="Z37" s="4" t="e">
        <f>IF(A37&lt;('2. Inputs and results'!$B$21+1),Z36+(C37-$V$6+Y37)/((1+$P$2)^A37),NA())</f>
        <v>#N/A</v>
      </c>
      <c r="AA37" s="4" t="str">
        <f>IF(A37&lt;('2. Inputs and results'!$B$21+1),AA36+(G37+I37+H37+T37-$V$6)," ")</f>
        <v xml:space="preserve"> </v>
      </c>
      <c r="AB37" s="20" t="e">
        <f>IF(A37&lt;('2. Inputs and results'!$B$21+1),AA37/L37,NA())</f>
        <v>#N/A</v>
      </c>
      <c r="AC37" s="29" t="str">
        <f>IF(A37&lt;('2. Inputs and results'!$B$21+1),AC36+(C37+Y37-$V$6)," ")</f>
        <v xml:space="preserve"> </v>
      </c>
      <c r="AD37" s="20" t="e">
        <f>IF(A37&lt;('2. Inputs and results'!$B$21+1),AC37/L37,NA())</f>
        <v>#N/A</v>
      </c>
      <c r="AE37" t="str">
        <f>IF(A37&lt;('2. Inputs and results'!$B$21+1),-'2. Inputs and results'!$B$121*A37," ")</f>
        <v xml:space="preserve"> </v>
      </c>
      <c r="AF37" t="e">
        <f>IF(A37&lt;('2. Inputs and results'!$B$21+1),AE37/1000,NA())</f>
        <v>#N/A</v>
      </c>
    </row>
    <row r="38" spans="1:32" x14ac:dyDescent="0.25">
      <c r="A38">
        <f t="shared" si="0"/>
        <v>33</v>
      </c>
      <c r="B38" t="str">
        <f>IF(A38&lt;('2. Inputs and results'!$B$21+1),A38," ")</f>
        <v xml:space="preserve"> </v>
      </c>
      <c r="C38" s="4" t="str">
        <f>IF(A38&lt;('2. Inputs and results'!$B$21+1),'2. Inputs and results'!$B$99+'2. Inputs and results'!$B$101," ")</f>
        <v xml:space="preserve"> </v>
      </c>
      <c r="D38" s="4" t="e">
        <f>IF(A38&lt;('2. Inputs and results'!$B$21+1),D37+C38,NA())</f>
        <v>#N/A</v>
      </c>
      <c r="E38" s="4" t="str">
        <f>IF(B38&lt;('2. Inputs and results'!$B$21+1),C38/((1+$P$2)^A38)," ")</f>
        <v xml:space="preserve"> </v>
      </c>
      <c r="F38" s="4" t="str">
        <f>IF(A38&lt;('2. Inputs and results'!$B$21+1),F37+E38," ")</f>
        <v xml:space="preserve"> </v>
      </c>
      <c r="G38" s="4" t="str">
        <f>IF(A38&lt;('2. Inputs and results'!$B$21+1),G37*(1+'2. Inputs and results'!$B$44)," ")</f>
        <v xml:space="preserve"> </v>
      </c>
      <c r="H38" s="4" t="str">
        <f>IF(A38&lt;('2. Inputs and results'!$B$21+1),H37*(1+'2. Inputs and results'!$B$56)," ")</f>
        <v xml:space="preserve"> </v>
      </c>
      <c r="I38" s="4" t="str">
        <f>IF(A38&lt;('2. Inputs and results'!$B$21+1),I37*(1+'2. Inputs and results'!$B$32)," ")</f>
        <v xml:space="preserve"> </v>
      </c>
      <c r="J38" s="4" t="str">
        <f>IF(A38&lt;('2. Inputs and results'!$B$21+1),J37*(1+'2. Inputs and results'!$B$66)," ")</f>
        <v xml:space="preserve"> </v>
      </c>
      <c r="K38" s="4" t="e">
        <f>IF('Solution 1, (hidden)'!A38&lt;('2. Inputs and results'!$B$21+1),K37+(G38+I38+H38+J38),NA())</f>
        <v>#N/A</v>
      </c>
      <c r="L38" s="4" t="e">
        <f>IF(A38&lt;('2. Inputs and results'!$B$21+1),L37,NA())</f>
        <v>#N/A</v>
      </c>
      <c r="M38" s="4" t="str">
        <f>IF(A38&lt;('2. Inputs and results'!$B$21+1),'2. Inputs and results'!$B$75*'2. Inputs and results'!$B$73," ")</f>
        <v xml:space="preserve"> </v>
      </c>
      <c r="N38" s="4" t="str">
        <f>IF(A38&lt;('2. Inputs and results'!$B$21+1),M38/((1+$P$2)^A38)," ")</f>
        <v xml:space="preserve"> </v>
      </c>
      <c r="O38" s="4" t="str">
        <f>IF(A38&lt;('2. Inputs and results'!$B$21+1),'2. Inputs and results'!$B$73*'2. Inputs and results'!$B$75+O37," ")</f>
        <v xml:space="preserve"> </v>
      </c>
      <c r="P38" s="4" t="str">
        <f>IF(A38&lt;('2. Inputs and results'!$B$21+1),(G38+I38+H38+J38)/((1+$P$2)^A38)," ")</f>
        <v xml:space="preserve"> </v>
      </c>
      <c r="Q38" s="4" t="str">
        <f>IF(A38&lt;('2. Inputs and results'!$B$21+1),Q37+P38," ")</f>
        <v xml:space="preserve"> </v>
      </c>
      <c r="R38" s="4" t="e">
        <f>IF(A38&lt;('2. Inputs and results'!$B$21+1),R37+G38+I38+J38+H38+T38-$V$6,NA())</f>
        <v>#N/A</v>
      </c>
      <c r="S38" s="4" t="str">
        <f>IF(A38&lt;('2. Inputs and results'!$B$21+1),'2. Inputs and results'!$B$79*(R37)," ")</f>
        <v xml:space="preserve"> </v>
      </c>
      <c r="T38" s="4">
        <f t="shared" si="1"/>
        <v>0</v>
      </c>
      <c r="U38" s="4" t="e">
        <f>IF(A38&lt;('2. Inputs and results'!$B$21+1),U37+(T38+I38+G38+H38+J38-$V$6)/((1+$P$2)^A38),NA())</f>
        <v>#N/A</v>
      </c>
      <c r="V38" s="4" t="str">
        <f>IF(A38&lt;('2. Inputs and results'!$B$21+1),V37+('2. Inputs and results'!$B$75*'2. Inputs and results'!$B$73)," ")</f>
        <v xml:space="preserve"> </v>
      </c>
      <c r="W38" s="4" t="e">
        <f>IF(A38&lt;('2. Inputs and results'!$B$21+1),W37+C38+Y38-$V$6,NA())</f>
        <v>#N/A</v>
      </c>
      <c r="X38" s="4" t="str">
        <f>IF(A38&lt;('2. Inputs and results'!$B$21+1),'2. Inputs and results'!$B$79*W37," ")</f>
        <v xml:space="preserve"> </v>
      </c>
      <c r="Y38" s="4">
        <f t="shared" si="2"/>
        <v>0</v>
      </c>
      <c r="Z38" s="4" t="e">
        <f>IF(A38&lt;('2. Inputs and results'!$B$21+1),Z37+(C38-$V$6+Y38)/((1+$P$2)^A38),NA())</f>
        <v>#N/A</v>
      </c>
      <c r="AA38" s="4" t="str">
        <f>IF(A38&lt;('2. Inputs and results'!$B$21+1),AA37+(G38+I38+H38+T38-$V$6)," ")</f>
        <v xml:space="preserve"> </v>
      </c>
      <c r="AB38" s="20" t="e">
        <f>IF(A38&lt;('2. Inputs and results'!$B$21+1),AA38/L38,NA())</f>
        <v>#N/A</v>
      </c>
      <c r="AC38" s="29" t="str">
        <f>IF(A38&lt;('2. Inputs and results'!$B$21+1),AC37+(C38+Y38-$V$6)," ")</f>
        <v xml:space="preserve"> </v>
      </c>
      <c r="AD38" s="20" t="e">
        <f>IF(A38&lt;('2. Inputs and results'!$B$21+1),AC38/L38,NA())</f>
        <v>#N/A</v>
      </c>
      <c r="AE38" t="str">
        <f>IF(A38&lt;('2. Inputs and results'!$B$21+1),-'2. Inputs and results'!$B$121*A38," ")</f>
        <v xml:space="preserve"> </v>
      </c>
      <c r="AF38" t="e">
        <f>IF(A38&lt;('2. Inputs and results'!$B$21+1),AE38/1000,NA())</f>
        <v>#N/A</v>
      </c>
    </row>
    <row r="39" spans="1:32" x14ac:dyDescent="0.25">
      <c r="A39">
        <f t="shared" si="0"/>
        <v>34</v>
      </c>
      <c r="B39" t="str">
        <f>IF(A39&lt;('2. Inputs and results'!$B$21+1),A39," ")</f>
        <v xml:space="preserve"> </v>
      </c>
      <c r="C39" s="4" t="str">
        <f>IF(A39&lt;('2. Inputs and results'!$B$21+1),'2. Inputs and results'!$B$99+'2. Inputs and results'!$B$101," ")</f>
        <v xml:space="preserve"> </v>
      </c>
      <c r="D39" s="4" t="e">
        <f>IF(A39&lt;('2. Inputs and results'!$B$21+1),D38+C39,NA())</f>
        <v>#N/A</v>
      </c>
      <c r="E39" s="4" t="str">
        <f>IF(B39&lt;('2. Inputs and results'!$B$21+1),C39/((1+$P$2)^A39)," ")</f>
        <v xml:space="preserve"> </v>
      </c>
      <c r="F39" s="4" t="str">
        <f>IF(A39&lt;('2. Inputs and results'!$B$21+1),F38+E39," ")</f>
        <v xml:space="preserve"> </v>
      </c>
      <c r="G39" s="4" t="str">
        <f>IF(A39&lt;('2. Inputs and results'!$B$21+1),G38*(1+'2. Inputs and results'!$B$44)," ")</f>
        <v xml:space="preserve"> </v>
      </c>
      <c r="H39" s="4" t="str">
        <f>IF(A39&lt;('2. Inputs and results'!$B$21+1),H38*(1+'2. Inputs and results'!$B$56)," ")</f>
        <v xml:space="preserve"> </v>
      </c>
      <c r="I39" s="4" t="str">
        <f>IF(A39&lt;('2. Inputs and results'!$B$21+1),I38*(1+'2. Inputs and results'!$B$32)," ")</f>
        <v xml:space="preserve"> </v>
      </c>
      <c r="J39" s="4" t="str">
        <f>IF(A39&lt;('2. Inputs and results'!$B$21+1),J38*(1+'2. Inputs and results'!$B$66)," ")</f>
        <v xml:space="preserve"> </v>
      </c>
      <c r="K39" s="4" t="e">
        <f>IF('Solution 1, (hidden)'!A39&lt;('2. Inputs and results'!$B$21+1),K38+(G39+I39+H39+J39),NA())</f>
        <v>#N/A</v>
      </c>
      <c r="L39" s="4" t="e">
        <f>IF(A39&lt;('2. Inputs and results'!$B$21+1),L38,NA())</f>
        <v>#N/A</v>
      </c>
      <c r="M39" s="4" t="str">
        <f>IF(A39&lt;('2. Inputs and results'!$B$21+1),'2. Inputs and results'!$B$75*'2. Inputs and results'!$B$73," ")</f>
        <v xml:space="preserve"> </v>
      </c>
      <c r="N39" s="4" t="str">
        <f>IF(A39&lt;('2. Inputs and results'!$B$21+1),M39/((1+$P$2)^A39)," ")</f>
        <v xml:space="preserve"> </v>
      </c>
      <c r="O39" s="4" t="str">
        <f>IF(A39&lt;('2. Inputs and results'!$B$21+1),'2. Inputs and results'!$B$73*'2. Inputs and results'!$B$75+O38," ")</f>
        <v xml:space="preserve"> </v>
      </c>
      <c r="P39" s="4" t="str">
        <f>IF(A39&lt;('2. Inputs and results'!$B$21+1),(G39+I39+H39+J39)/((1+$P$2)^A39)," ")</f>
        <v xml:space="preserve"> </v>
      </c>
      <c r="Q39" s="4" t="str">
        <f>IF(A39&lt;('2. Inputs and results'!$B$21+1),Q38+P39," ")</f>
        <v xml:space="preserve"> </v>
      </c>
      <c r="R39" s="4" t="e">
        <f>IF(A39&lt;('2. Inputs and results'!$B$21+1),R38+G39+I39+J39+H39+T39-$V$6,NA())</f>
        <v>#N/A</v>
      </c>
      <c r="S39" s="4" t="str">
        <f>IF(A39&lt;('2. Inputs and results'!$B$21+1),'2. Inputs and results'!$B$79*(R38)," ")</f>
        <v xml:space="preserve"> </v>
      </c>
      <c r="T39" s="4">
        <f t="shared" si="1"/>
        <v>0</v>
      </c>
      <c r="U39" s="4" t="e">
        <f>IF(A39&lt;('2. Inputs and results'!$B$21+1),U38+(T39+I39+G39+H39+J39-$V$6)/((1+$P$2)^A39),NA())</f>
        <v>#N/A</v>
      </c>
      <c r="V39" s="4" t="str">
        <f>IF(A39&lt;('2. Inputs and results'!$B$21+1),V38+('2. Inputs and results'!$B$75*'2. Inputs and results'!$B$73)," ")</f>
        <v xml:space="preserve"> </v>
      </c>
      <c r="W39" s="4" t="e">
        <f>IF(A39&lt;('2. Inputs and results'!$B$21+1),W38+C39+Y39-$V$6,NA())</f>
        <v>#N/A</v>
      </c>
      <c r="X39" s="4" t="str">
        <f>IF(A39&lt;('2. Inputs and results'!$B$21+1),'2. Inputs and results'!$B$79*W38," ")</f>
        <v xml:space="preserve"> </v>
      </c>
      <c r="Y39" s="4">
        <f t="shared" si="2"/>
        <v>0</v>
      </c>
      <c r="Z39" s="4" t="e">
        <f>IF(A39&lt;('2. Inputs and results'!$B$21+1),Z38+(C39-$V$6+Y39)/((1+$P$2)^A39),NA())</f>
        <v>#N/A</v>
      </c>
      <c r="AA39" s="4" t="str">
        <f>IF(A39&lt;('2. Inputs and results'!$B$21+1),AA38+(G39+I39+H39+T39-$V$6)," ")</f>
        <v xml:space="preserve"> </v>
      </c>
      <c r="AB39" s="20" t="e">
        <f>IF(A39&lt;('2. Inputs and results'!$B$21+1),AA39/L39,NA())</f>
        <v>#N/A</v>
      </c>
      <c r="AC39" s="29" t="str">
        <f>IF(A39&lt;('2. Inputs and results'!$B$21+1),AC38+(C39+Y39-$V$6)," ")</f>
        <v xml:space="preserve"> </v>
      </c>
      <c r="AD39" s="20" t="e">
        <f>IF(A39&lt;('2. Inputs and results'!$B$21+1),AC39/L39,NA())</f>
        <v>#N/A</v>
      </c>
      <c r="AE39" t="str">
        <f>IF(A39&lt;('2. Inputs and results'!$B$21+1),-'2. Inputs and results'!$B$121*A39," ")</f>
        <v xml:space="preserve"> </v>
      </c>
      <c r="AF39" t="e">
        <f>IF(A39&lt;('2. Inputs and results'!$B$21+1),AE39/1000,NA())</f>
        <v>#N/A</v>
      </c>
    </row>
    <row r="40" spans="1:32" x14ac:dyDescent="0.25">
      <c r="A40">
        <f t="shared" si="0"/>
        <v>35</v>
      </c>
      <c r="B40" t="str">
        <f>IF(A40&lt;('2. Inputs and results'!$B$21+1),A40," ")</f>
        <v xml:space="preserve"> </v>
      </c>
      <c r="C40" s="4" t="str">
        <f>IF(A40&lt;('2. Inputs and results'!$B$21+1),'2. Inputs and results'!$B$99+'2. Inputs and results'!$B$101," ")</f>
        <v xml:space="preserve"> </v>
      </c>
      <c r="D40" s="4" t="e">
        <f>IF(A40&lt;('2. Inputs and results'!$B$21+1),D39+C40,NA())</f>
        <v>#N/A</v>
      </c>
      <c r="E40" s="4" t="str">
        <f>IF(B40&lt;('2. Inputs and results'!$B$21+1),C40/((1+$P$2)^A40)," ")</f>
        <v xml:space="preserve"> </v>
      </c>
      <c r="F40" s="4" t="str">
        <f>IF(A40&lt;('2. Inputs and results'!$B$21+1),F39+E40," ")</f>
        <v xml:space="preserve"> </v>
      </c>
      <c r="G40" s="4" t="str">
        <f>IF(A40&lt;('2. Inputs and results'!$B$21+1),G39*(1+'2. Inputs and results'!$B$44)," ")</f>
        <v xml:space="preserve"> </v>
      </c>
      <c r="H40" s="4" t="str">
        <f>IF(A40&lt;('2. Inputs and results'!$B$21+1),H39*(1+'2. Inputs and results'!$B$56)," ")</f>
        <v xml:space="preserve"> </v>
      </c>
      <c r="I40" s="4" t="str">
        <f>IF(A40&lt;('2. Inputs and results'!$B$21+1),I39*(1+'2. Inputs and results'!$B$32)," ")</f>
        <v xml:space="preserve"> </v>
      </c>
      <c r="J40" s="4" t="str">
        <f>IF(A40&lt;('2. Inputs and results'!$B$21+1),J39*(1+'2. Inputs and results'!$B$66)," ")</f>
        <v xml:space="preserve"> </v>
      </c>
      <c r="K40" s="4" t="e">
        <f>IF('Solution 1, (hidden)'!A40&lt;('2. Inputs and results'!$B$21+1),K39+(G40+I40+H40+J40),NA())</f>
        <v>#N/A</v>
      </c>
      <c r="L40" s="4" t="e">
        <f>IF(A40&lt;('2. Inputs and results'!$B$21+1),L39,NA())</f>
        <v>#N/A</v>
      </c>
      <c r="M40" s="4" t="str">
        <f>IF(A40&lt;('2. Inputs and results'!$B$21+1),'2. Inputs and results'!$B$75*'2. Inputs and results'!$B$73," ")</f>
        <v xml:space="preserve"> </v>
      </c>
      <c r="N40" s="4" t="str">
        <f>IF(A40&lt;('2. Inputs and results'!$B$21+1),M40/((1+$P$2)^A40)," ")</f>
        <v xml:space="preserve"> </v>
      </c>
      <c r="O40" s="4" t="str">
        <f>IF(A40&lt;('2. Inputs and results'!$B$21+1),'2. Inputs and results'!$B$73*'2. Inputs and results'!$B$75+O39," ")</f>
        <v xml:space="preserve"> </v>
      </c>
      <c r="P40" s="4" t="str">
        <f>IF(A40&lt;('2. Inputs and results'!$B$21+1),(G40+I40+H40+J40)/((1+$P$2)^A40)," ")</f>
        <v xml:space="preserve"> </v>
      </c>
      <c r="Q40" s="4" t="str">
        <f>IF(A40&lt;('2. Inputs and results'!$B$21+1),Q39+P40," ")</f>
        <v xml:space="preserve"> </v>
      </c>
      <c r="R40" s="4" t="e">
        <f>IF(A40&lt;('2. Inputs and results'!$B$21+1),R39+G40+I40+J40+H40+T40-$V$6,NA())</f>
        <v>#N/A</v>
      </c>
      <c r="S40" s="4" t="str">
        <f>IF(A40&lt;('2. Inputs and results'!$B$21+1),'2. Inputs and results'!$B$79*(R39)," ")</f>
        <v xml:space="preserve"> </v>
      </c>
      <c r="T40" s="4">
        <f t="shared" si="1"/>
        <v>0</v>
      </c>
      <c r="U40" s="4" t="e">
        <f>IF(A40&lt;('2. Inputs and results'!$B$21+1),U39+(T40+I40+G40+H40+J40-$V$6)/((1+$P$2)^A40),NA())</f>
        <v>#N/A</v>
      </c>
      <c r="V40" s="4" t="str">
        <f>IF(A40&lt;('2. Inputs and results'!$B$21+1),V39+('2. Inputs and results'!$B$75*'2. Inputs and results'!$B$73)," ")</f>
        <v xml:space="preserve"> </v>
      </c>
      <c r="W40" s="4" t="e">
        <f>IF(A40&lt;('2. Inputs and results'!$B$21+1),W39+C40+Y40-$V$6,NA())</f>
        <v>#N/A</v>
      </c>
      <c r="X40" s="4" t="str">
        <f>IF(A40&lt;('2. Inputs and results'!$B$21+1),'2. Inputs and results'!$B$79*W39," ")</f>
        <v xml:space="preserve"> </v>
      </c>
      <c r="Y40" s="4">
        <f t="shared" si="2"/>
        <v>0</v>
      </c>
      <c r="Z40" s="4" t="e">
        <f>IF(A40&lt;('2. Inputs and results'!$B$21+1),Z39+(C40-$V$6+Y40)/((1+$P$2)^A40),NA())</f>
        <v>#N/A</v>
      </c>
      <c r="AA40" s="4" t="str">
        <f>IF(A40&lt;('2. Inputs and results'!$B$21+1),AA39+(G40+I40+H40+T40-$V$6)," ")</f>
        <v xml:space="preserve"> </v>
      </c>
      <c r="AB40" s="20" t="e">
        <f>IF(A40&lt;('2. Inputs and results'!$B$21+1),AA40/L40,NA())</f>
        <v>#N/A</v>
      </c>
      <c r="AC40" s="29" t="str">
        <f>IF(A40&lt;('2. Inputs and results'!$B$21+1),AC39+(C40+Y40-$V$6)," ")</f>
        <v xml:space="preserve"> </v>
      </c>
      <c r="AD40" s="20" t="e">
        <f>IF(A40&lt;('2. Inputs and results'!$B$21+1),AC40/L40,NA())</f>
        <v>#N/A</v>
      </c>
      <c r="AE40" t="str">
        <f>IF(A40&lt;('2. Inputs and results'!$B$21+1),-'2. Inputs and results'!$B$121*A40," ")</f>
        <v xml:space="preserve"> </v>
      </c>
      <c r="AF40" t="e">
        <f>IF(A40&lt;('2. Inputs and results'!$B$21+1),AE40/1000,NA())</f>
        <v>#N/A</v>
      </c>
    </row>
    <row r="41" spans="1:32" x14ac:dyDescent="0.25">
      <c r="A41">
        <f t="shared" si="0"/>
        <v>36</v>
      </c>
      <c r="B41" t="str">
        <f>IF(A41&lt;('2. Inputs and results'!$B$21+1),A41," ")</f>
        <v xml:space="preserve"> </v>
      </c>
      <c r="C41" s="4" t="str">
        <f>IF(A41&lt;('2. Inputs and results'!$B$21+1),'2. Inputs and results'!$B$99+'2. Inputs and results'!$B$101," ")</f>
        <v xml:space="preserve"> </v>
      </c>
      <c r="D41" s="4" t="e">
        <f>IF(A41&lt;('2. Inputs and results'!$B$21+1),D40+C41,NA())</f>
        <v>#N/A</v>
      </c>
      <c r="E41" s="4" t="str">
        <f>IF(B41&lt;('2. Inputs and results'!$B$21+1),C41/((1+$P$2)^A41)," ")</f>
        <v xml:space="preserve"> </v>
      </c>
      <c r="F41" s="4" t="str">
        <f>IF(A41&lt;('2. Inputs and results'!$B$21+1),F40+E41," ")</f>
        <v xml:space="preserve"> </v>
      </c>
      <c r="G41" s="4" t="str">
        <f>IF(A41&lt;('2. Inputs and results'!$B$21+1),G40*(1+'2. Inputs and results'!$B$44)," ")</f>
        <v xml:space="preserve"> </v>
      </c>
      <c r="H41" s="4" t="str">
        <f>IF(A41&lt;('2. Inputs and results'!$B$21+1),H40*(1+'2. Inputs and results'!$B$56)," ")</f>
        <v xml:space="preserve"> </v>
      </c>
      <c r="I41" s="4" t="str">
        <f>IF(A41&lt;('2. Inputs and results'!$B$21+1),I40*(1+'2. Inputs and results'!$B$32)," ")</f>
        <v xml:space="preserve"> </v>
      </c>
      <c r="J41" s="4" t="str">
        <f>IF(A41&lt;('2. Inputs and results'!$B$21+1),J40*(1+'2. Inputs and results'!$B$66)," ")</f>
        <v xml:space="preserve"> </v>
      </c>
      <c r="K41" s="4" t="e">
        <f>IF('Solution 1, (hidden)'!A41&lt;('2. Inputs and results'!$B$21+1),K40+(G41+I41+H41+J41),NA())</f>
        <v>#N/A</v>
      </c>
      <c r="L41" s="4" t="e">
        <f>IF(A41&lt;('2. Inputs and results'!$B$21+1),L40,NA())</f>
        <v>#N/A</v>
      </c>
      <c r="M41" s="4" t="str">
        <f>IF(A41&lt;('2. Inputs and results'!$B$21+1),'2. Inputs and results'!$B$75*'2. Inputs and results'!$B$73," ")</f>
        <v xml:space="preserve"> </v>
      </c>
      <c r="N41" s="4" t="str">
        <f>IF(A41&lt;('2. Inputs and results'!$B$21+1),M41/((1+$P$2)^A41)," ")</f>
        <v xml:space="preserve"> </v>
      </c>
      <c r="O41" s="4" t="str">
        <f>IF(A41&lt;('2. Inputs and results'!$B$21+1),'2. Inputs and results'!$B$73*'2. Inputs and results'!$B$75+O40," ")</f>
        <v xml:space="preserve"> </v>
      </c>
      <c r="P41" s="4" t="str">
        <f>IF(A41&lt;('2. Inputs and results'!$B$21+1),(G41+I41+H41+J41)/((1+$P$2)^A41)," ")</f>
        <v xml:space="preserve"> </v>
      </c>
      <c r="Q41" s="4" t="str">
        <f>IF(A41&lt;('2. Inputs and results'!$B$21+1),Q40+P41," ")</f>
        <v xml:space="preserve"> </v>
      </c>
      <c r="R41" s="4" t="e">
        <f>IF(A41&lt;('2. Inputs and results'!$B$21+1),R40+G41+I41+J41+H41+T41-$V$6,NA())</f>
        <v>#N/A</v>
      </c>
      <c r="S41" s="4" t="str">
        <f>IF(A41&lt;('2. Inputs and results'!$B$21+1),'2. Inputs and results'!$B$79*(R40)," ")</f>
        <v xml:space="preserve"> </v>
      </c>
      <c r="T41" s="4">
        <f t="shared" si="1"/>
        <v>0</v>
      </c>
      <c r="U41" s="4" t="e">
        <f>IF(A41&lt;('2. Inputs and results'!$B$21+1),U40+(T41+I41+G41+H41+J41-$V$6)/((1+$P$2)^A41),NA())</f>
        <v>#N/A</v>
      </c>
      <c r="V41" s="4" t="str">
        <f>IF(A41&lt;('2. Inputs and results'!$B$21+1),V40+('2. Inputs and results'!$B$75*'2. Inputs and results'!$B$73)," ")</f>
        <v xml:space="preserve"> </v>
      </c>
      <c r="W41" s="4" t="e">
        <f>IF(A41&lt;('2. Inputs and results'!$B$21+1),W40+C41+Y41-$V$6,NA())</f>
        <v>#N/A</v>
      </c>
      <c r="X41" s="4" t="str">
        <f>IF(A41&lt;('2. Inputs and results'!$B$21+1),'2. Inputs and results'!$B$79*W40," ")</f>
        <v xml:space="preserve"> </v>
      </c>
      <c r="Y41" s="4">
        <f t="shared" si="2"/>
        <v>0</v>
      </c>
      <c r="Z41" s="4" t="e">
        <f>IF(A41&lt;('2. Inputs and results'!$B$21+1),Z40+(C41-$V$6+Y41)/((1+$P$2)^A41),NA())</f>
        <v>#N/A</v>
      </c>
      <c r="AA41" s="4" t="str">
        <f>IF(A41&lt;('2. Inputs and results'!$B$21+1),AA40+(G41+I41+H41+T41-$V$6)," ")</f>
        <v xml:space="preserve"> </v>
      </c>
      <c r="AB41" s="20" t="e">
        <f>IF(A41&lt;('2. Inputs and results'!$B$21+1),AA41/L41,NA())</f>
        <v>#N/A</v>
      </c>
      <c r="AC41" s="29" t="str">
        <f>IF(A41&lt;('2. Inputs and results'!$B$21+1),AC40+(C41+Y41-$V$6)," ")</f>
        <v xml:space="preserve"> </v>
      </c>
      <c r="AD41" s="20" t="e">
        <f>IF(A41&lt;('2. Inputs and results'!$B$21+1),AC41/L41,NA())</f>
        <v>#N/A</v>
      </c>
      <c r="AE41" t="str">
        <f>IF(A41&lt;('2. Inputs and results'!$B$21+1),-'2. Inputs and results'!$B$121*A41," ")</f>
        <v xml:space="preserve"> </v>
      </c>
      <c r="AF41" t="e">
        <f>IF(A41&lt;('2. Inputs and results'!$B$21+1),AE41/1000,NA())</f>
        <v>#N/A</v>
      </c>
    </row>
    <row r="42" spans="1:32" x14ac:dyDescent="0.25">
      <c r="A42">
        <f t="shared" si="0"/>
        <v>37</v>
      </c>
      <c r="B42" t="str">
        <f>IF(A42&lt;('2. Inputs and results'!$B$21+1),A42," ")</f>
        <v xml:space="preserve"> </v>
      </c>
      <c r="C42" s="4" t="str">
        <f>IF(A42&lt;('2. Inputs and results'!$B$21+1),'2. Inputs and results'!$B$99+'2. Inputs and results'!$B$101," ")</f>
        <v xml:space="preserve"> </v>
      </c>
      <c r="D42" s="4" t="e">
        <f>IF(A42&lt;('2. Inputs and results'!$B$21+1),D41+C42,NA())</f>
        <v>#N/A</v>
      </c>
      <c r="E42" s="4" t="str">
        <f>IF(B42&lt;('2. Inputs and results'!$B$21+1),C42/((1+$P$2)^A42)," ")</f>
        <v xml:space="preserve"> </v>
      </c>
      <c r="F42" s="4" t="str">
        <f>IF(A42&lt;('2. Inputs and results'!$B$21+1),F41+E42," ")</f>
        <v xml:space="preserve"> </v>
      </c>
      <c r="G42" s="4" t="str">
        <f>IF(A42&lt;('2. Inputs and results'!$B$21+1),G41*(1+'2. Inputs and results'!$B$44)," ")</f>
        <v xml:space="preserve"> </v>
      </c>
      <c r="H42" s="4" t="str">
        <f>IF(A42&lt;('2. Inputs and results'!$B$21+1),H41*(1+'2. Inputs and results'!$B$56)," ")</f>
        <v xml:space="preserve"> </v>
      </c>
      <c r="I42" s="4" t="str">
        <f>IF(A42&lt;('2. Inputs and results'!$B$21+1),I41*(1+'2. Inputs and results'!$B$32)," ")</f>
        <v xml:space="preserve"> </v>
      </c>
      <c r="J42" s="4" t="str">
        <f>IF(A42&lt;('2. Inputs and results'!$B$21+1),J41*(1+'2. Inputs and results'!$B$66)," ")</f>
        <v xml:space="preserve"> </v>
      </c>
      <c r="K42" s="4" t="e">
        <f>IF('Solution 1, (hidden)'!A42&lt;('2. Inputs and results'!$B$21+1),K41+(G42+I42+H42+J42),NA())</f>
        <v>#N/A</v>
      </c>
      <c r="L42" s="4" t="e">
        <f>IF(A42&lt;('2. Inputs and results'!$B$21+1),L41,NA())</f>
        <v>#N/A</v>
      </c>
      <c r="M42" s="4" t="str">
        <f>IF(A42&lt;('2. Inputs and results'!$B$21+1),'2. Inputs and results'!$B$75*'2. Inputs and results'!$B$73," ")</f>
        <v xml:space="preserve"> </v>
      </c>
      <c r="N42" s="4" t="str">
        <f>IF(A42&lt;('2. Inputs and results'!$B$21+1),M42/((1+$P$2)^A42)," ")</f>
        <v xml:space="preserve"> </v>
      </c>
      <c r="O42" s="4" t="str">
        <f>IF(A42&lt;('2. Inputs and results'!$B$21+1),'2. Inputs and results'!$B$73*'2. Inputs and results'!$B$75+O41," ")</f>
        <v xml:space="preserve"> </v>
      </c>
      <c r="P42" s="4" t="str">
        <f>IF(A42&lt;('2. Inputs and results'!$B$21+1),(G42+I42+H42+J42)/((1+$P$2)^A42)," ")</f>
        <v xml:space="preserve"> </v>
      </c>
      <c r="Q42" s="4" t="str">
        <f>IF(A42&lt;('2. Inputs and results'!$B$21+1),Q41+P42," ")</f>
        <v xml:space="preserve"> </v>
      </c>
      <c r="R42" s="4" t="e">
        <f>IF(A42&lt;('2. Inputs and results'!$B$21+1),R41+G42+I42+J42+H42+T42-$V$6,NA())</f>
        <v>#N/A</v>
      </c>
      <c r="S42" s="4" t="str">
        <f>IF(A42&lt;('2. Inputs and results'!$B$21+1),'2. Inputs and results'!$B$79*(R41)," ")</f>
        <v xml:space="preserve"> </v>
      </c>
      <c r="T42" s="4">
        <f t="shared" si="1"/>
        <v>0</v>
      </c>
      <c r="U42" s="4" t="e">
        <f>IF(A42&lt;('2. Inputs and results'!$B$21+1),U41+(T42+I42+G42+H42+J42-$V$6)/((1+$P$2)^A42),NA())</f>
        <v>#N/A</v>
      </c>
      <c r="V42" s="4" t="str">
        <f>IF(A42&lt;('2. Inputs and results'!$B$21+1),V41+('2. Inputs and results'!$B$75*'2. Inputs and results'!$B$73)," ")</f>
        <v xml:space="preserve"> </v>
      </c>
      <c r="W42" s="4" t="e">
        <f>IF(A42&lt;('2. Inputs and results'!$B$21+1),W41+C42+Y42-$V$6,NA())</f>
        <v>#N/A</v>
      </c>
      <c r="X42" s="4" t="str">
        <f>IF(A42&lt;('2. Inputs and results'!$B$21+1),'2. Inputs and results'!$B$79*W41," ")</f>
        <v xml:space="preserve"> </v>
      </c>
      <c r="Y42" s="4">
        <f t="shared" si="2"/>
        <v>0</v>
      </c>
      <c r="Z42" s="4" t="e">
        <f>IF(A42&lt;('2. Inputs and results'!$B$21+1),Z41+(C42-$V$6+Y42)/((1+$P$2)^A42),NA())</f>
        <v>#N/A</v>
      </c>
      <c r="AA42" s="4" t="str">
        <f>IF(A42&lt;('2. Inputs and results'!$B$21+1),AA41+(G42+I42+H42+T42-$V$6)," ")</f>
        <v xml:space="preserve"> </v>
      </c>
      <c r="AB42" s="20" t="e">
        <f>IF(A42&lt;('2. Inputs and results'!$B$21+1),AA42/L42,NA())</f>
        <v>#N/A</v>
      </c>
      <c r="AC42" s="29" t="str">
        <f>IF(A42&lt;('2. Inputs and results'!$B$21+1),AC41+(C42+Y42-$V$6)," ")</f>
        <v xml:space="preserve"> </v>
      </c>
      <c r="AD42" s="20" t="e">
        <f>IF(A42&lt;('2. Inputs and results'!$B$21+1),AC42/L42,NA())</f>
        <v>#N/A</v>
      </c>
      <c r="AE42" t="str">
        <f>IF(A42&lt;('2. Inputs and results'!$B$21+1),-'2. Inputs and results'!$B$121*A42," ")</f>
        <v xml:space="preserve"> </v>
      </c>
      <c r="AF42" t="e">
        <f>IF(A42&lt;('2. Inputs and results'!$B$21+1),AE42/1000,NA())</f>
        <v>#N/A</v>
      </c>
    </row>
    <row r="43" spans="1:32" x14ac:dyDescent="0.25">
      <c r="A43">
        <f t="shared" si="0"/>
        <v>38</v>
      </c>
      <c r="B43" t="str">
        <f>IF(A43&lt;('2. Inputs and results'!$B$21+1),A43," ")</f>
        <v xml:space="preserve"> </v>
      </c>
      <c r="C43" s="4" t="str">
        <f>IF(A43&lt;('2. Inputs and results'!$B$21+1),'2. Inputs and results'!$B$99+'2. Inputs and results'!$B$101," ")</f>
        <v xml:space="preserve"> </v>
      </c>
      <c r="D43" s="4" t="e">
        <f>IF(A43&lt;('2. Inputs and results'!$B$21+1),D42+C43,NA())</f>
        <v>#N/A</v>
      </c>
      <c r="E43" s="4" t="str">
        <f>IF(B43&lt;('2. Inputs and results'!$B$21+1),C43/((1+$P$2)^A43)," ")</f>
        <v xml:space="preserve"> </v>
      </c>
      <c r="F43" s="4" t="str">
        <f>IF(A43&lt;('2. Inputs and results'!$B$21+1),F42+E43," ")</f>
        <v xml:space="preserve"> </v>
      </c>
      <c r="G43" s="4" t="str">
        <f>IF(A43&lt;('2. Inputs and results'!$B$21+1),G42*(1+'2. Inputs and results'!$B$44)," ")</f>
        <v xml:space="preserve"> </v>
      </c>
      <c r="H43" s="4" t="str">
        <f>IF(A43&lt;('2. Inputs and results'!$B$21+1),H42*(1+'2. Inputs and results'!$B$56)," ")</f>
        <v xml:space="preserve"> </v>
      </c>
      <c r="I43" s="4" t="str">
        <f>IF(A43&lt;('2. Inputs and results'!$B$21+1),I42*(1+'2. Inputs and results'!$B$32)," ")</f>
        <v xml:space="preserve"> </v>
      </c>
      <c r="J43" s="4" t="str">
        <f>IF(A43&lt;('2. Inputs and results'!$B$21+1),J42*(1+'2. Inputs and results'!$B$66)," ")</f>
        <v xml:space="preserve"> </v>
      </c>
      <c r="K43" s="4" t="e">
        <f>IF('Solution 1, (hidden)'!A43&lt;('2. Inputs and results'!$B$21+1),K42+(G43+I43+H43+J43),NA())</f>
        <v>#N/A</v>
      </c>
      <c r="L43" s="4" t="e">
        <f>IF(A43&lt;('2. Inputs and results'!$B$21+1),L42,NA())</f>
        <v>#N/A</v>
      </c>
      <c r="M43" s="4" t="str">
        <f>IF(A43&lt;('2. Inputs and results'!$B$21+1),'2. Inputs and results'!$B$75*'2. Inputs and results'!$B$73," ")</f>
        <v xml:space="preserve"> </v>
      </c>
      <c r="N43" s="4" t="str">
        <f>IF(A43&lt;('2. Inputs and results'!$B$21+1),M43/((1+$P$2)^A43)," ")</f>
        <v xml:space="preserve"> </v>
      </c>
      <c r="O43" s="4" t="str">
        <f>IF(A43&lt;('2. Inputs and results'!$B$21+1),'2. Inputs and results'!$B$73*'2. Inputs and results'!$B$75+O42," ")</f>
        <v xml:space="preserve"> </v>
      </c>
      <c r="P43" s="4" t="str">
        <f>IF(A43&lt;('2. Inputs and results'!$B$21+1),(G43+I43+H43+J43)/((1+$P$2)^A43)," ")</f>
        <v xml:space="preserve"> </v>
      </c>
      <c r="Q43" s="4" t="str">
        <f>IF(A43&lt;('2. Inputs and results'!$B$21+1),Q42+P43," ")</f>
        <v xml:space="preserve"> </v>
      </c>
      <c r="R43" s="4" t="e">
        <f>IF(A43&lt;('2. Inputs and results'!$B$21+1),R42+G43+I43+J43+H43+T43-$V$6,NA())</f>
        <v>#N/A</v>
      </c>
      <c r="S43" s="4" t="str">
        <f>IF(A43&lt;('2. Inputs and results'!$B$21+1),'2. Inputs and results'!$B$79*(R42)," ")</f>
        <v xml:space="preserve"> </v>
      </c>
      <c r="T43" s="4">
        <f t="shared" si="1"/>
        <v>0</v>
      </c>
      <c r="U43" s="4" t="e">
        <f>IF(A43&lt;('2. Inputs and results'!$B$21+1),U42+(T43+I43+G43+H43+J43-$V$6)/((1+$P$2)^A43),NA())</f>
        <v>#N/A</v>
      </c>
      <c r="V43" s="4" t="str">
        <f>IF(A43&lt;('2. Inputs and results'!$B$21+1),V42+('2. Inputs and results'!$B$75*'2. Inputs and results'!$B$73)," ")</f>
        <v xml:space="preserve"> </v>
      </c>
      <c r="W43" s="4" t="e">
        <f>IF(A43&lt;('2. Inputs and results'!$B$21+1),W42+C43+Y43-$V$6,NA())</f>
        <v>#N/A</v>
      </c>
      <c r="X43" s="4" t="str">
        <f>IF(A43&lt;('2. Inputs and results'!$B$21+1),'2. Inputs and results'!$B$79*W42," ")</f>
        <v xml:space="preserve"> </v>
      </c>
      <c r="Y43" s="4">
        <f t="shared" si="2"/>
        <v>0</v>
      </c>
      <c r="Z43" s="4" t="e">
        <f>IF(A43&lt;('2. Inputs and results'!$B$21+1),Z42+(C43-$V$6+Y43)/((1+$P$2)^A43),NA())</f>
        <v>#N/A</v>
      </c>
      <c r="AA43" s="4" t="str">
        <f>IF(A43&lt;('2. Inputs and results'!$B$21+1),AA42+(G43+I43+H43+T43-$V$6)," ")</f>
        <v xml:space="preserve"> </v>
      </c>
      <c r="AB43" s="20" t="e">
        <f>IF(A43&lt;('2. Inputs and results'!$B$21+1),AA43/L43,NA())</f>
        <v>#N/A</v>
      </c>
      <c r="AC43" s="29" t="str">
        <f>IF(A43&lt;('2. Inputs and results'!$B$21+1),AC42+(C43+Y43-$V$6)," ")</f>
        <v xml:space="preserve"> </v>
      </c>
      <c r="AD43" s="20" t="e">
        <f>IF(A43&lt;('2. Inputs and results'!$B$21+1),AC43/L43,NA())</f>
        <v>#N/A</v>
      </c>
      <c r="AE43" t="str">
        <f>IF(A43&lt;('2. Inputs and results'!$B$21+1),-'2. Inputs and results'!$B$121*A43," ")</f>
        <v xml:space="preserve"> </v>
      </c>
      <c r="AF43" t="e">
        <f>IF(A43&lt;('2. Inputs and results'!$B$21+1),AE43/1000,NA())</f>
        <v>#N/A</v>
      </c>
    </row>
    <row r="44" spans="1:32" x14ac:dyDescent="0.25">
      <c r="A44">
        <f t="shared" si="0"/>
        <v>39</v>
      </c>
      <c r="B44" t="str">
        <f>IF(A44&lt;('2. Inputs and results'!$B$21+1),A44," ")</f>
        <v xml:space="preserve"> </v>
      </c>
      <c r="C44" s="4" t="str">
        <f>IF(A44&lt;('2. Inputs and results'!$B$21+1),'2. Inputs and results'!$B$99+'2. Inputs and results'!$B$101," ")</f>
        <v xml:space="preserve"> </v>
      </c>
      <c r="D44" s="4" t="e">
        <f>IF(A44&lt;('2. Inputs and results'!$B$21+1),D43+C44,NA())</f>
        <v>#N/A</v>
      </c>
      <c r="E44" s="4" t="str">
        <f>IF(B44&lt;('2. Inputs and results'!$B$21+1),C44/((1+$P$2)^A44)," ")</f>
        <v xml:space="preserve"> </v>
      </c>
      <c r="F44" s="4" t="str">
        <f>IF(A44&lt;('2. Inputs and results'!$B$21+1),F43+E44," ")</f>
        <v xml:space="preserve"> </v>
      </c>
      <c r="G44" s="4" t="str">
        <f>IF(A44&lt;('2. Inputs and results'!$B$21+1),G43*(1+'2. Inputs and results'!$B$44)," ")</f>
        <v xml:space="preserve"> </v>
      </c>
      <c r="H44" s="4" t="str">
        <f>IF(A44&lt;('2. Inputs and results'!$B$21+1),H43*(1+'2. Inputs and results'!$B$56)," ")</f>
        <v xml:space="preserve"> </v>
      </c>
      <c r="I44" s="4" t="str">
        <f>IF(A44&lt;('2. Inputs and results'!$B$21+1),I43*(1+'2. Inputs and results'!$B$32)," ")</f>
        <v xml:space="preserve"> </v>
      </c>
      <c r="J44" s="4" t="str">
        <f>IF(A44&lt;('2. Inputs and results'!$B$21+1),J43*(1+'2. Inputs and results'!$B$66)," ")</f>
        <v xml:space="preserve"> </v>
      </c>
      <c r="K44" s="4" t="e">
        <f>IF('Solution 1, (hidden)'!A44&lt;('2. Inputs and results'!$B$21+1),K43+(G44+I44+H44+J44),NA())</f>
        <v>#N/A</v>
      </c>
      <c r="L44" s="4" t="e">
        <f>IF(A44&lt;('2. Inputs and results'!$B$21+1),L43,NA())</f>
        <v>#N/A</v>
      </c>
      <c r="M44" s="4" t="str">
        <f>IF(A44&lt;('2. Inputs and results'!$B$21+1),'2. Inputs and results'!$B$75*'2. Inputs and results'!$B$73," ")</f>
        <v xml:space="preserve"> </v>
      </c>
      <c r="N44" s="4" t="str">
        <f>IF(A44&lt;('2. Inputs and results'!$B$21+1),M44/((1+$P$2)^A44)," ")</f>
        <v xml:space="preserve"> </v>
      </c>
      <c r="O44" s="4" t="str">
        <f>IF(A44&lt;('2. Inputs and results'!$B$21+1),'2. Inputs and results'!$B$73*'2. Inputs and results'!$B$75+O43," ")</f>
        <v xml:space="preserve"> </v>
      </c>
      <c r="P44" s="4" t="str">
        <f>IF(A44&lt;('2. Inputs and results'!$B$21+1),(G44+I44+H44+J44)/((1+$P$2)^A44)," ")</f>
        <v xml:space="preserve"> </v>
      </c>
      <c r="Q44" s="4" t="str">
        <f>IF(A44&lt;('2. Inputs and results'!$B$21+1),Q43+P44," ")</f>
        <v xml:space="preserve"> </v>
      </c>
      <c r="R44" s="4" t="e">
        <f>IF(A44&lt;('2. Inputs and results'!$B$21+1),R43+G44+I44+J44+H44+T44-$V$6,NA())</f>
        <v>#N/A</v>
      </c>
      <c r="S44" s="4" t="str">
        <f>IF(A44&lt;('2. Inputs and results'!$B$21+1),'2. Inputs and results'!$B$79*(R43)," ")</f>
        <v xml:space="preserve"> </v>
      </c>
      <c r="T44" s="4">
        <f t="shared" si="1"/>
        <v>0</v>
      </c>
      <c r="U44" s="4" t="e">
        <f>IF(A44&lt;('2. Inputs and results'!$B$21+1),U43+(T44+I44+G44+H44+J44-$V$6)/((1+$P$2)^A44),NA())</f>
        <v>#N/A</v>
      </c>
      <c r="V44" s="4" t="str">
        <f>IF(A44&lt;('2. Inputs and results'!$B$21+1),V43+('2. Inputs and results'!$B$75*'2. Inputs and results'!$B$73)," ")</f>
        <v xml:space="preserve"> </v>
      </c>
      <c r="W44" s="4" t="e">
        <f>IF(A44&lt;('2. Inputs and results'!$B$21+1),W43+C44+Y44-$V$6,NA())</f>
        <v>#N/A</v>
      </c>
      <c r="X44" s="4" t="str">
        <f>IF(A44&lt;('2. Inputs and results'!$B$21+1),'2. Inputs and results'!$B$79*W43," ")</f>
        <v xml:space="preserve"> </v>
      </c>
      <c r="Y44" s="4">
        <f t="shared" si="2"/>
        <v>0</v>
      </c>
      <c r="Z44" s="4" t="e">
        <f>IF(A44&lt;('2. Inputs and results'!$B$21+1),Z43+(C44-$V$6+Y44)/((1+$P$2)^A44),NA())</f>
        <v>#N/A</v>
      </c>
      <c r="AA44" s="4" t="str">
        <f>IF(A44&lt;('2. Inputs and results'!$B$21+1),AA43+(G44+I44+H44+T44-$V$6)," ")</f>
        <v xml:space="preserve"> </v>
      </c>
      <c r="AB44" s="20" t="e">
        <f>IF(A44&lt;('2. Inputs and results'!$B$21+1),AA44/L44,NA())</f>
        <v>#N/A</v>
      </c>
      <c r="AC44" s="29" t="str">
        <f>IF(A44&lt;('2. Inputs and results'!$B$21+1),AC43+(C44+Y44-$V$6)," ")</f>
        <v xml:space="preserve"> </v>
      </c>
      <c r="AD44" s="20" t="e">
        <f>IF(A44&lt;('2. Inputs and results'!$B$21+1),AC44/L44,NA())</f>
        <v>#N/A</v>
      </c>
      <c r="AE44" t="str">
        <f>IF(A44&lt;('2. Inputs and results'!$B$21+1),-'2. Inputs and results'!$B$121*A44," ")</f>
        <v xml:space="preserve"> </v>
      </c>
      <c r="AF44" t="e">
        <f>IF(A44&lt;('2. Inputs and results'!$B$21+1),AE44/1000,NA())</f>
        <v>#N/A</v>
      </c>
    </row>
    <row r="45" spans="1:32" x14ac:dyDescent="0.25">
      <c r="A45">
        <f t="shared" si="0"/>
        <v>40</v>
      </c>
      <c r="B45" t="str">
        <f>IF(A45&lt;('2. Inputs and results'!$B$21+1),A45," ")</f>
        <v xml:space="preserve"> </v>
      </c>
      <c r="C45" s="4" t="str">
        <f>IF(A45&lt;('2. Inputs and results'!$B$21+1),'2. Inputs and results'!$B$99+'2. Inputs and results'!$B$101," ")</f>
        <v xml:space="preserve"> </v>
      </c>
      <c r="D45" s="4" t="e">
        <f>IF(A45&lt;('2. Inputs and results'!$B$21+1),D44+C45,NA())</f>
        <v>#N/A</v>
      </c>
      <c r="E45" s="4" t="str">
        <f>IF(B45&lt;('2. Inputs and results'!$B$21+1),C45/((1+$P$2)^A45)," ")</f>
        <v xml:space="preserve"> </v>
      </c>
      <c r="F45" s="4" t="str">
        <f>IF(A45&lt;('2. Inputs and results'!$B$21+1),F44+E45," ")</f>
        <v xml:space="preserve"> </v>
      </c>
      <c r="G45" s="4" t="str">
        <f>IF(A45&lt;('2. Inputs and results'!$B$21+1),G44*(1+'2. Inputs and results'!$B$44)," ")</f>
        <v xml:space="preserve"> </v>
      </c>
      <c r="H45" s="4" t="str">
        <f>IF(A45&lt;('2. Inputs and results'!$B$21+1),H44*(1+'2. Inputs and results'!$B$56)," ")</f>
        <v xml:space="preserve"> </v>
      </c>
      <c r="I45" s="4" t="str">
        <f>IF(A45&lt;('2. Inputs and results'!$B$21+1),I44*(1+'2. Inputs and results'!$B$32)," ")</f>
        <v xml:space="preserve"> </v>
      </c>
      <c r="J45" s="4" t="str">
        <f>IF(A45&lt;('2. Inputs and results'!$B$21+1),J44*(1+'2. Inputs and results'!$B$66)," ")</f>
        <v xml:space="preserve"> </v>
      </c>
      <c r="K45" s="4" t="e">
        <f>IF('Solution 1, (hidden)'!A45&lt;('2. Inputs and results'!$B$21+1),K44+(G45+I45+H45+J45),NA())</f>
        <v>#N/A</v>
      </c>
      <c r="L45" s="4" t="e">
        <f>IF(A45&lt;('2. Inputs and results'!$B$21+1),L44,NA())</f>
        <v>#N/A</v>
      </c>
      <c r="M45" s="4" t="str">
        <f>IF(A45&lt;('2. Inputs and results'!$B$21+1),'2. Inputs and results'!$B$75*'2. Inputs and results'!$B$73," ")</f>
        <v xml:space="preserve"> </v>
      </c>
      <c r="N45" s="4" t="str">
        <f>IF(A45&lt;('2. Inputs and results'!$B$21+1),M45/((1+$P$2)^A45)," ")</f>
        <v xml:space="preserve"> </v>
      </c>
      <c r="O45" s="4" t="str">
        <f>IF(A45&lt;('2. Inputs and results'!$B$21+1),'2. Inputs and results'!$B$73*'2. Inputs and results'!$B$75+O44," ")</f>
        <v xml:space="preserve"> </v>
      </c>
      <c r="P45" s="4" t="str">
        <f>IF(A45&lt;('2. Inputs and results'!$B$21+1),(G45+I45+H45+J45)/((1+$P$2)^A45)," ")</f>
        <v xml:space="preserve"> </v>
      </c>
      <c r="Q45" s="4" t="str">
        <f>IF(A45&lt;('2. Inputs and results'!$B$21+1),Q44+P45," ")</f>
        <v xml:space="preserve"> </v>
      </c>
      <c r="R45" s="4" t="e">
        <f>IF(A45&lt;('2. Inputs and results'!$B$21+1),R44+G45+I45+J45+H45+T45-$V$6,NA())</f>
        <v>#N/A</v>
      </c>
      <c r="S45" s="4" t="str">
        <f>IF(A45&lt;('2. Inputs and results'!$B$21+1),'2. Inputs and results'!$B$79*(R44)," ")</f>
        <v xml:space="preserve"> </v>
      </c>
      <c r="T45" s="4">
        <f t="shared" si="1"/>
        <v>0</v>
      </c>
      <c r="U45" s="4" t="e">
        <f>IF(A45&lt;('2. Inputs and results'!$B$21+1),U44+(T45+I45+G45+H45+J45-$V$6)/((1+$P$2)^A45),NA())</f>
        <v>#N/A</v>
      </c>
      <c r="V45" s="4" t="str">
        <f>IF(A45&lt;('2. Inputs and results'!$B$21+1),V44+('2. Inputs and results'!$B$75*'2. Inputs and results'!$B$73)," ")</f>
        <v xml:space="preserve"> </v>
      </c>
      <c r="W45" s="4" t="e">
        <f>IF(A45&lt;('2. Inputs and results'!$B$21+1),W44+C45+Y45-$V$6,NA())</f>
        <v>#N/A</v>
      </c>
      <c r="X45" s="4" t="str">
        <f>IF(A45&lt;('2. Inputs and results'!$B$21+1),'2. Inputs and results'!$B$79*W44," ")</f>
        <v xml:space="preserve"> </v>
      </c>
      <c r="Y45" s="4">
        <f t="shared" si="2"/>
        <v>0</v>
      </c>
      <c r="Z45" s="4" t="e">
        <f>IF(A45&lt;('2. Inputs and results'!$B$21+1),Z44+(C45-$V$6+Y45)/((1+$P$2)^A45),NA())</f>
        <v>#N/A</v>
      </c>
      <c r="AA45" s="4" t="str">
        <f>IF(A45&lt;('2. Inputs and results'!$B$21+1),AA44+(G45+I45+H45+T45-$V$6)," ")</f>
        <v xml:space="preserve"> </v>
      </c>
      <c r="AB45" s="20" t="e">
        <f>IF(A45&lt;('2. Inputs and results'!$B$21+1),AA45/L45,NA())</f>
        <v>#N/A</v>
      </c>
      <c r="AC45" s="29" t="str">
        <f>IF(A45&lt;('2. Inputs and results'!$B$21+1),AC44+(C45+Y45-$V$6)," ")</f>
        <v xml:space="preserve"> </v>
      </c>
      <c r="AD45" s="20" t="e">
        <f>IF(A45&lt;('2. Inputs and results'!$B$21+1),AC45/L45,NA())</f>
        <v>#N/A</v>
      </c>
      <c r="AE45" t="str">
        <f>IF(A45&lt;('2. Inputs and results'!$B$21+1),-'2. Inputs and results'!$B$121*A45," ")</f>
        <v xml:space="preserve"> </v>
      </c>
      <c r="AF45" t="e">
        <f>IF(A45&lt;('2. Inputs and results'!$B$21+1),AE45/1000,NA())</f>
        <v>#N/A</v>
      </c>
    </row>
    <row r="46" spans="1:32" x14ac:dyDescent="0.25">
      <c r="A46">
        <f t="shared" si="0"/>
        <v>41</v>
      </c>
      <c r="B46" t="str">
        <f>IF(A46&lt;('2. Inputs and results'!$B$21+1),A46," ")</f>
        <v xml:space="preserve"> </v>
      </c>
      <c r="C46" s="4" t="str">
        <f>IF(A46&lt;('2. Inputs and results'!$B$21+1),'2. Inputs and results'!$B$99+'2. Inputs and results'!$B$101," ")</f>
        <v xml:space="preserve"> </v>
      </c>
      <c r="D46" s="4" t="e">
        <f>IF(A46&lt;('2. Inputs and results'!$B$21+1),D45+C46,NA())</f>
        <v>#N/A</v>
      </c>
      <c r="E46" s="4" t="str">
        <f>IF(B46&lt;('2. Inputs and results'!$B$21+1),C46/((1+$P$2)^A46)," ")</f>
        <v xml:space="preserve"> </v>
      </c>
      <c r="F46" s="4" t="str">
        <f>IF(A46&lt;('2. Inputs and results'!$B$21+1),F45+E46," ")</f>
        <v xml:space="preserve"> </v>
      </c>
      <c r="G46" s="4" t="str">
        <f>IF(A46&lt;('2. Inputs and results'!$B$21+1),G45*(1+'2. Inputs and results'!$B$44)," ")</f>
        <v xml:space="preserve"> </v>
      </c>
      <c r="H46" s="4" t="str">
        <f>IF(A46&lt;('2. Inputs and results'!$B$21+1),H45*(1+'2. Inputs and results'!$B$56)," ")</f>
        <v xml:space="preserve"> </v>
      </c>
      <c r="I46" s="4" t="str">
        <f>IF(A46&lt;('2. Inputs and results'!$B$21+1),I45*(1+'2. Inputs and results'!$B$32)," ")</f>
        <v xml:space="preserve"> </v>
      </c>
      <c r="J46" s="4" t="str">
        <f>IF(A46&lt;('2. Inputs and results'!$B$21+1),J45*(1+'2. Inputs and results'!$B$66)," ")</f>
        <v xml:space="preserve"> </v>
      </c>
      <c r="K46" s="4" t="e">
        <f>IF('Solution 1, (hidden)'!A46&lt;('2. Inputs and results'!$B$21+1),K45+(G46+I46+H46+J46),NA())</f>
        <v>#N/A</v>
      </c>
      <c r="L46" s="4" t="e">
        <f>IF(A46&lt;('2. Inputs and results'!$B$21+1),L45,NA())</f>
        <v>#N/A</v>
      </c>
      <c r="M46" s="4" t="str">
        <f>IF(A46&lt;('2. Inputs and results'!$B$21+1),'2. Inputs and results'!$B$75*'2. Inputs and results'!$B$73," ")</f>
        <v xml:space="preserve"> </v>
      </c>
      <c r="N46" s="4" t="str">
        <f>IF(A46&lt;('2. Inputs and results'!$B$21+1),M46/((1+$P$2)^A46)," ")</f>
        <v xml:space="preserve"> </v>
      </c>
      <c r="O46" s="4" t="str">
        <f>IF(A46&lt;('2. Inputs and results'!$B$21+1),'2. Inputs and results'!$B$73*'2. Inputs and results'!$B$75+O45," ")</f>
        <v xml:space="preserve"> </v>
      </c>
      <c r="P46" s="4" t="str">
        <f>IF(A46&lt;('2. Inputs and results'!$B$21+1),(G46+I46+H46+J46)/((1+$P$2)^A46)," ")</f>
        <v xml:space="preserve"> </v>
      </c>
      <c r="Q46" s="4" t="str">
        <f>IF(A46&lt;('2. Inputs and results'!$B$21+1),Q45+P46," ")</f>
        <v xml:space="preserve"> </v>
      </c>
      <c r="R46" s="4" t="e">
        <f>IF(A46&lt;('2. Inputs and results'!$B$21+1),R45+G46+I46+J46+H46+T46-$V$6,NA())</f>
        <v>#N/A</v>
      </c>
      <c r="S46" s="4" t="str">
        <f>IF(A46&lt;('2. Inputs and results'!$B$21+1),'2. Inputs and results'!$B$79*(R45)," ")</f>
        <v xml:space="preserve"> </v>
      </c>
      <c r="T46" s="4">
        <f t="shared" si="1"/>
        <v>0</v>
      </c>
      <c r="U46" s="4" t="e">
        <f>IF(A46&lt;('2. Inputs and results'!$B$21+1),U45+(T46+I46+G46+H46+J46-$V$6)/((1+$P$2)^A46),NA())</f>
        <v>#N/A</v>
      </c>
      <c r="V46" s="4" t="str">
        <f>IF(A46&lt;('2. Inputs and results'!$B$21+1),V45+('2. Inputs and results'!$B$75*'2. Inputs and results'!$B$73)," ")</f>
        <v xml:space="preserve"> </v>
      </c>
      <c r="W46" s="4" t="e">
        <f>IF(A46&lt;('2. Inputs and results'!$B$21+1),W45+C46+Y46-$V$6,NA())</f>
        <v>#N/A</v>
      </c>
      <c r="X46" s="4" t="str">
        <f>IF(A46&lt;('2. Inputs and results'!$B$21+1),'2. Inputs and results'!$B$79*W45," ")</f>
        <v xml:space="preserve"> </v>
      </c>
      <c r="Y46" s="4">
        <f t="shared" si="2"/>
        <v>0</v>
      </c>
      <c r="Z46" s="4" t="e">
        <f>IF(A46&lt;('2. Inputs and results'!$B$21+1),Z45+(C46-$V$6+Y46)/((1+$P$2)^A46),NA())</f>
        <v>#N/A</v>
      </c>
      <c r="AA46" s="4" t="str">
        <f>IF(A46&lt;('2. Inputs and results'!$B$21+1),AA45+(G46+I46+H46+T46-$V$6)," ")</f>
        <v xml:space="preserve"> </v>
      </c>
      <c r="AB46" s="20" t="e">
        <f>IF(A46&lt;('2. Inputs and results'!$B$21+1),AA46/L46,NA())</f>
        <v>#N/A</v>
      </c>
      <c r="AC46" s="29" t="str">
        <f>IF(A46&lt;('2. Inputs and results'!$B$21+1),AC45+(C46+Y46-$V$6)," ")</f>
        <v xml:space="preserve"> </v>
      </c>
      <c r="AD46" s="20" t="e">
        <f>IF(A46&lt;('2. Inputs and results'!$B$21+1),AC46/L46,NA())</f>
        <v>#N/A</v>
      </c>
      <c r="AE46" t="str">
        <f>IF(A46&lt;('2. Inputs and results'!$B$21+1),-'2. Inputs and results'!$B$121*A46," ")</f>
        <v xml:space="preserve"> </v>
      </c>
      <c r="AF46" t="e">
        <f>IF(A46&lt;('2. Inputs and results'!$B$21+1),AE46/1000,NA())</f>
        <v>#N/A</v>
      </c>
    </row>
    <row r="47" spans="1:32" x14ac:dyDescent="0.25">
      <c r="A47">
        <f t="shared" si="0"/>
        <v>42</v>
      </c>
      <c r="B47" t="str">
        <f>IF(A47&lt;('2. Inputs and results'!$B$21+1),A47," ")</f>
        <v xml:space="preserve"> </v>
      </c>
      <c r="C47" s="4" t="str">
        <f>IF(A47&lt;('2. Inputs and results'!$B$21+1),'2. Inputs and results'!$B$99+'2. Inputs and results'!$B$101," ")</f>
        <v xml:space="preserve"> </v>
      </c>
      <c r="D47" s="4" t="e">
        <f>IF(A47&lt;('2. Inputs and results'!$B$21+1),D46+C47,NA())</f>
        <v>#N/A</v>
      </c>
      <c r="E47" s="4" t="str">
        <f>IF(B47&lt;('2. Inputs and results'!$B$21+1),C47/((1+$P$2)^A47)," ")</f>
        <v xml:space="preserve"> </v>
      </c>
      <c r="F47" s="4" t="str">
        <f>IF(A47&lt;('2. Inputs and results'!$B$21+1),F46+E47," ")</f>
        <v xml:space="preserve"> </v>
      </c>
      <c r="G47" s="4" t="str">
        <f>IF(A47&lt;('2. Inputs and results'!$B$21+1),G46*(1+'2. Inputs and results'!$B$44)," ")</f>
        <v xml:space="preserve"> </v>
      </c>
      <c r="H47" s="4" t="str">
        <f>IF(A47&lt;('2. Inputs and results'!$B$21+1),H46*(1+'2. Inputs and results'!$B$56)," ")</f>
        <v xml:space="preserve"> </v>
      </c>
      <c r="I47" s="4" t="str">
        <f>IF(A47&lt;('2. Inputs and results'!$B$21+1),I46*(1+'2. Inputs and results'!$B$32)," ")</f>
        <v xml:space="preserve"> </v>
      </c>
      <c r="J47" s="4" t="str">
        <f>IF(A47&lt;('2. Inputs and results'!$B$21+1),J46*(1+'2. Inputs and results'!$B$66)," ")</f>
        <v xml:space="preserve"> </v>
      </c>
      <c r="K47" s="4" t="e">
        <f>IF('Solution 1, (hidden)'!A47&lt;('2. Inputs and results'!$B$21+1),K46+(G47+I47+H47+J47),NA())</f>
        <v>#N/A</v>
      </c>
      <c r="L47" s="4" t="e">
        <f>IF(A47&lt;('2. Inputs and results'!$B$21+1),L46,NA())</f>
        <v>#N/A</v>
      </c>
      <c r="M47" s="4" t="str">
        <f>IF(A47&lt;('2. Inputs and results'!$B$21+1),'2. Inputs and results'!$B$75*'2. Inputs and results'!$B$73," ")</f>
        <v xml:space="preserve"> </v>
      </c>
      <c r="N47" s="4" t="str">
        <f>IF(A47&lt;('2. Inputs and results'!$B$21+1),M47/((1+$P$2)^A47)," ")</f>
        <v xml:space="preserve"> </v>
      </c>
      <c r="O47" s="4" t="str">
        <f>IF(A47&lt;('2. Inputs and results'!$B$21+1),'2. Inputs and results'!$B$73*'2. Inputs and results'!$B$75+O46," ")</f>
        <v xml:space="preserve"> </v>
      </c>
      <c r="P47" s="4" t="str">
        <f>IF(A47&lt;('2. Inputs and results'!$B$21+1),(G47+I47+H47+J47)/((1+$P$2)^A47)," ")</f>
        <v xml:space="preserve"> </v>
      </c>
      <c r="Q47" s="4" t="str">
        <f>IF(A47&lt;('2. Inputs and results'!$B$21+1),Q46+P47," ")</f>
        <v xml:space="preserve"> </v>
      </c>
      <c r="R47" s="4" t="e">
        <f>IF(A47&lt;('2. Inputs and results'!$B$21+1),R46+G47+I47+J47+H47+T47-$V$6,NA())</f>
        <v>#N/A</v>
      </c>
      <c r="S47" s="4" t="str">
        <f>IF(A47&lt;('2. Inputs and results'!$B$21+1),'2. Inputs and results'!$B$79*(R46)," ")</f>
        <v xml:space="preserve"> </v>
      </c>
      <c r="T47" s="4">
        <f t="shared" si="1"/>
        <v>0</v>
      </c>
      <c r="U47" s="4" t="e">
        <f>IF(A47&lt;('2. Inputs and results'!$B$21+1),U46+(T47+I47+G47+H47+J47-$V$6)/((1+$P$2)^A47),NA())</f>
        <v>#N/A</v>
      </c>
      <c r="V47" s="4" t="str">
        <f>IF(A47&lt;('2. Inputs and results'!$B$21+1),V46+('2. Inputs and results'!$B$75*'2. Inputs and results'!$B$73)," ")</f>
        <v xml:space="preserve"> </v>
      </c>
      <c r="W47" s="4" t="e">
        <f>IF(A47&lt;('2. Inputs and results'!$B$21+1),W46+C47+Y47-$V$6,NA())</f>
        <v>#N/A</v>
      </c>
      <c r="X47" s="4" t="str">
        <f>IF(A47&lt;('2. Inputs and results'!$B$21+1),'2. Inputs and results'!$B$79*W46," ")</f>
        <v xml:space="preserve"> </v>
      </c>
      <c r="Y47" s="4">
        <f t="shared" si="2"/>
        <v>0</v>
      </c>
      <c r="Z47" s="4" t="e">
        <f>IF(A47&lt;('2. Inputs and results'!$B$21+1),Z46+(C47-$V$6+Y47)/((1+$P$2)^A47),NA())</f>
        <v>#N/A</v>
      </c>
      <c r="AA47" s="4" t="str">
        <f>IF(A47&lt;('2. Inputs and results'!$B$21+1),AA46+(G47+I47+H47+T47-$V$6)," ")</f>
        <v xml:space="preserve"> </v>
      </c>
      <c r="AB47" s="20" t="e">
        <f>IF(A47&lt;('2. Inputs and results'!$B$21+1),AA47/L47,NA())</f>
        <v>#N/A</v>
      </c>
      <c r="AC47" s="29" t="str">
        <f>IF(A47&lt;('2. Inputs and results'!$B$21+1),AC46+(C47+Y47-$V$6)," ")</f>
        <v xml:space="preserve"> </v>
      </c>
      <c r="AD47" s="20" t="e">
        <f>IF(A47&lt;('2. Inputs and results'!$B$21+1),AC47/L47,NA())</f>
        <v>#N/A</v>
      </c>
      <c r="AE47" t="str">
        <f>IF(A47&lt;('2. Inputs and results'!$B$21+1),-'2. Inputs and results'!$B$121*A47," ")</f>
        <v xml:space="preserve"> </v>
      </c>
      <c r="AF47" t="e">
        <f>IF(A47&lt;('2. Inputs and results'!$B$21+1),AE47/1000,NA())</f>
        <v>#N/A</v>
      </c>
    </row>
    <row r="48" spans="1:32" x14ac:dyDescent="0.25">
      <c r="A48">
        <f t="shared" si="0"/>
        <v>43</v>
      </c>
      <c r="B48" t="str">
        <f>IF(A48&lt;('2. Inputs and results'!$B$21+1),A48," ")</f>
        <v xml:space="preserve"> </v>
      </c>
      <c r="C48" s="4" t="str">
        <f>IF(A48&lt;('2. Inputs and results'!$B$21+1),'2. Inputs and results'!$B$99+'2. Inputs and results'!$B$101," ")</f>
        <v xml:space="preserve"> </v>
      </c>
      <c r="D48" s="4" t="e">
        <f>IF(A48&lt;('2. Inputs and results'!$B$21+1),D47+C48,NA())</f>
        <v>#N/A</v>
      </c>
      <c r="E48" s="4" t="str">
        <f>IF(B48&lt;('2. Inputs and results'!$B$21+1),C48/((1+$P$2)^A48)," ")</f>
        <v xml:space="preserve"> </v>
      </c>
      <c r="F48" s="4" t="str">
        <f>IF(A48&lt;('2. Inputs and results'!$B$21+1),F47+E48," ")</f>
        <v xml:space="preserve"> </v>
      </c>
      <c r="G48" s="4" t="str">
        <f>IF(A48&lt;('2. Inputs and results'!$B$21+1),G47*(1+'2. Inputs and results'!$B$44)," ")</f>
        <v xml:space="preserve"> </v>
      </c>
      <c r="H48" s="4" t="str">
        <f>IF(A48&lt;('2. Inputs and results'!$B$21+1),H47*(1+'2. Inputs and results'!$B$56)," ")</f>
        <v xml:space="preserve"> </v>
      </c>
      <c r="I48" s="4" t="str">
        <f>IF(A48&lt;('2. Inputs and results'!$B$21+1),I47*(1+'2. Inputs and results'!$B$32)," ")</f>
        <v xml:space="preserve"> </v>
      </c>
      <c r="J48" s="4" t="str">
        <f>IF(A48&lt;('2. Inputs and results'!$B$21+1),J47*(1+'2. Inputs and results'!$B$66)," ")</f>
        <v xml:space="preserve"> </v>
      </c>
      <c r="K48" s="4" t="e">
        <f>IF('Solution 1, (hidden)'!A48&lt;('2. Inputs and results'!$B$21+1),K47+(G48+I48+H48+J48),NA())</f>
        <v>#N/A</v>
      </c>
      <c r="L48" s="4" t="e">
        <f>IF(A48&lt;('2. Inputs and results'!$B$21+1),L47,NA())</f>
        <v>#N/A</v>
      </c>
      <c r="M48" s="4" t="str">
        <f>IF(A48&lt;('2. Inputs and results'!$B$21+1),'2. Inputs and results'!$B$75*'2. Inputs and results'!$B$73," ")</f>
        <v xml:space="preserve"> </v>
      </c>
      <c r="N48" s="4" t="str">
        <f>IF(A48&lt;('2. Inputs and results'!$B$21+1),M48/((1+$P$2)^A48)," ")</f>
        <v xml:space="preserve"> </v>
      </c>
      <c r="O48" s="4" t="str">
        <f>IF(A48&lt;('2. Inputs and results'!$B$21+1),'2. Inputs and results'!$B$73*'2. Inputs and results'!$B$75+O47," ")</f>
        <v xml:space="preserve"> </v>
      </c>
      <c r="P48" s="4" t="str">
        <f>IF(A48&lt;('2. Inputs and results'!$B$21+1),(G48+I48+H48+J48)/((1+$P$2)^A48)," ")</f>
        <v xml:space="preserve"> </v>
      </c>
      <c r="Q48" s="4" t="str">
        <f>IF(A48&lt;('2. Inputs and results'!$B$21+1),Q47+P48," ")</f>
        <v xml:space="preserve"> </v>
      </c>
      <c r="R48" s="4" t="e">
        <f>IF(A48&lt;('2. Inputs and results'!$B$21+1),R47+G48+I48+J48+H48+T48-$V$6,NA())</f>
        <v>#N/A</v>
      </c>
      <c r="S48" s="4" t="str">
        <f>IF(A48&lt;('2. Inputs and results'!$B$21+1),'2. Inputs and results'!$B$79*(R47)," ")</f>
        <v xml:space="preserve"> </v>
      </c>
      <c r="T48" s="4">
        <f t="shared" si="1"/>
        <v>0</v>
      </c>
      <c r="U48" s="4" t="e">
        <f>IF(A48&lt;('2. Inputs and results'!$B$21+1),U47+(T48+I48+G48+H48+J48-$V$6)/((1+$P$2)^A48),NA())</f>
        <v>#N/A</v>
      </c>
      <c r="V48" s="4" t="str">
        <f>IF(A48&lt;('2. Inputs and results'!$B$21+1),V47+('2. Inputs and results'!$B$75*'2. Inputs and results'!$B$73)," ")</f>
        <v xml:space="preserve"> </v>
      </c>
      <c r="W48" s="4" t="e">
        <f>IF(A48&lt;('2. Inputs and results'!$B$21+1),W47+C48+Y48-$V$6,NA())</f>
        <v>#N/A</v>
      </c>
      <c r="X48" s="4" t="str">
        <f>IF(A48&lt;('2. Inputs and results'!$B$21+1),'2. Inputs and results'!$B$79*W47," ")</f>
        <v xml:space="preserve"> </v>
      </c>
      <c r="Y48" s="4">
        <f t="shared" si="2"/>
        <v>0</v>
      </c>
      <c r="Z48" s="4" t="e">
        <f>IF(A48&lt;('2. Inputs and results'!$B$21+1),Z47+(C48-$V$6+Y48)/((1+$P$2)^A48),NA())</f>
        <v>#N/A</v>
      </c>
      <c r="AA48" s="4" t="str">
        <f>IF(A48&lt;('2. Inputs and results'!$B$21+1),AA47+(G48+I48+H48+T48-$V$6)," ")</f>
        <v xml:space="preserve"> </v>
      </c>
      <c r="AB48" s="20" t="e">
        <f>IF(A48&lt;('2. Inputs and results'!$B$21+1),AA48/L48,NA())</f>
        <v>#N/A</v>
      </c>
      <c r="AC48" s="29" t="str">
        <f>IF(A48&lt;('2. Inputs and results'!$B$21+1),AC47+(C48+Y48-$V$6)," ")</f>
        <v xml:space="preserve"> </v>
      </c>
      <c r="AD48" s="20" t="e">
        <f>IF(A48&lt;('2. Inputs and results'!$B$21+1),AC48/L48,NA())</f>
        <v>#N/A</v>
      </c>
      <c r="AE48" t="str">
        <f>IF(A48&lt;('2. Inputs and results'!$B$21+1),-'2. Inputs and results'!$B$121*A48," ")</f>
        <v xml:space="preserve"> </v>
      </c>
      <c r="AF48" t="e">
        <f>IF(A48&lt;('2. Inputs and results'!$B$21+1),AE48/1000,NA())</f>
        <v>#N/A</v>
      </c>
    </row>
    <row r="49" spans="1:32" x14ac:dyDescent="0.25">
      <c r="A49">
        <f t="shared" si="0"/>
        <v>44</v>
      </c>
      <c r="B49" t="str">
        <f>IF(A49&lt;('2. Inputs and results'!$B$21+1),A49," ")</f>
        <v xml:space="preserve"> </v>
      </c>
      <c r="C49" s="4" t="str">
        <f>IF(A49&lt;('2. Inputs and results'!$B$21+1),'2. Inputs and results'!$B$99+'2. Inputs and results'!$B$101," ")</f>
        <v xml:space="preserve"> </v>
      </c>
      <c r="D49" s="4" t="e">
        <f>IF(A49&lt;('2. Inputs and results'!$B$21+1),D48+C49,NA())</f>
        <v>#N/A</v>
      </c>
      <c r="E49" s="4" t="str">
        <f>IF(B49&lt;('2. Inputs and results'!$B$21+1),C49/((1+$P$2)^A49)," ")</f>
        <v xml:space="preserve"> </v>
      </c>
      <c r="F49" s="4" t="str">
        <f>IF(A49&lt;('2. Inputs and results'!$B$21+1),F48+E49," ")</f>
        <v xml:space="preserve"> </v>
      </c>
      <c r="G49" s="4" t="str">
        <f>IF(A49&lt;('2. Inputs and results'!$B$21+1),G48*(1+'2. Inputs and results'!$B$44)," ")</f>
        <v xml:space="preserve"> </v>
      </c>
      <c r="H49" s="4" t="str">
        <f>IF(A49&lt;('2. Inputs and results'!$B$21+1),H48*(1+'2. Inputs and results'!$B$56)," ")</f>
        <v xml:space="preserve"> </v>
      </c>
      <c r="I49" s="4" t="str">
        <f>IF(A49&lt;('2. Inputs and results'!$B$21+1),I48*(1+'2. Inputs and results'!$B$32)," ")</f>
        <v xml:space="preserve"> </v>
      </c>
      <c r="J49" s="4" t="str">
        <f>IF(A49&lt;('2. Inputs and results'!$B$21+1),J48*(1+'2. Inputs and results'!$B$66)," ")</f>
        <v xml:space="preserve"> </v>
      </c>
      <c r="K49" s="4" t="e">
        <f>IF('Solution 1, (hidden)'!A49&lt;('2. Inputs and results'!$B$21+1),K48+(G49+I49+H49+J49),NA())</f>
        <v>#N/A</v>
      </c>
      <c r="L49" s="4" t="e">
        <f>IF(A49&lt;('2. Inputs and results'!$B$21+1),L48,NA())</f>
        <v>#N/A</v>
      </c>
      <c r="M49" s="4" t="str">
        <f>IF(A49&lt;('2. Inputs and results'!$B$21+1),'2. Inputs and results'!$B$75*'2. Inputs and results'!$B$73," ")</f>
        <v xml:space="preserve"> </v>
      </c>
      <c r="N49" s="4" t="str">
        <f>IF(A49&lt;('2. Inputs and results'!$B$21+1),M49/((1+$P$2)^A49)," ")</f>
        <v xml:space="preserve"> </v>
      </c>
      <c r="O49" s="4" t="str">
        <f>IF(A49&lt;('2. Inputs and results'!$B$21+1),'2. Inputs and results'!$B$73*'2. Inputs and results'!$B$75+O48," ")</f>
        <v xml:space="preserve"> </v>
      </c>
      <c r="P49" s="4" t="str">
        <f>IF(A49&lt;('2. Inputs and results'!$B$21+1),(G49+I49+H49+J49)/((1+$P$2)^A49)," ")</f>
        <v xml:space="preserve"> </v>
      </c>
      <c r="Q49" s="4" t="str">
        <f>IF(A49&lt;('2. Inputs and results'!$B$21+1),Q48+P49," ")</f>
        <v xml:space="preserve"> </v>
      </c>
      <c r="R49" s="4" t="e">
        <f>IF(A49&lt;('2. Inputs and results'!$B$21+1),R48+G49+I49+J49+H49+T49-$V$6,NA())</f>
        <v>#N/A</v>
      </c>
      <c r="S49" s="4" t="str">
        <f>IF(A49&lt;('2. Inputs and results'!$B$21+1),'2. Inputs and results'!$B$79*(R48)," ")</f>
        <v xml:space="preserve"> </v>
      </c>
      <c r="T49" s="4">
        <f t="shared" si="1"/>
        <v>0</v>
      </c>
      <c r="U49" s="4" t="e">
        <f>IF(A49&lt;('2. Inputs and results'!$B$21+1),U48+(T49+I49+G49+H49+J49-$V$6)/((1+$P$2)^A49),NA())</f>
        <v>#N/A</v>
      </c>
      <c r="V49" s="4" t="str">
        <f>IF(A49&lt;('2. Inputs and results'!$B$21+1),V48+('2. Inputs and results'!$B$75*'2. Inputs and results'!$B$73)," ")</f>
        <v xml:space="preserve"> </v>
      </c>
      <c r="W49" s="4" t="e">
        <f>IF(A49&lt;('2. Inputs and results'!$B$21+1),W48+C49+Y49-$V$6,NA())</f>
        <v>#N/A</v>
      </c>
      <c r="X49" s="4" t="str">
        <f>IF(A49&lt;('2. Inputs and results'!$B$21+1),'2. Inputs and results'!$B$79*W48," ")</f>
        <v xml:space="preserve"> </v>
      </c>
      <c r="Y49" s="4">
        <f t="shared" si="2"/>
        <v>0</v>
      </c>
      <c r="Z49" s="4" t="e">
        <f>IF(A49&lt;('2. Inputs and results'!$B$21+1),Z48+(C49-$V$6+Y49)/((1+$P$2)^A49),NA())</f>
        <v>#N/A</v>
      </c>
      <c r="AA49" s="4" t="str">
        <f>IF(A49&lt;('2. Inputs and results'!$B$21+1),AA48+(G49+I49+H49+T49-$V$6)," ")</f>
        <v xml:space="preserve"> </v>
      </c>
      <c r="AB49" s="20" t="e">
        <f>IF(A49&lt;('2. Inputs and results'!$B$21+1),AA49/L49,NA())</f>
        <v>#N/A</v>
      </c>
      <c r="AC49" s="29" t="str">
        <f>IF(A49&lt;('2. Inputs and results'!$B$21+1),AC48+(C49+Y49-$V$6)," ")</f>
        <v xml:space="preserve"> </v>
      </c>
      <c r="AD49" s="20" t="e">
        <f>IF(A49&lt;('2. Inputs and results'!$B$21+1),AC49/L49,NA())</f>
        <v>#N/A</v>
      </c>
      <c r="AE49" t="str">
        <f>IF(A49&lt;('2. Inputs and results'!$B$21+1),-'2. Inputs and results'!$B$121*A49," ")</f>
        <v xml:space="preserve"> </v>
      </c>
      <c r="AF49" t="e">
        <f>IF(A49&lt;('2. Inputs and results'!$B$21+1),AE49/1000,NA())</f>
        <v>#N/A</v>
      </c>
    </row>
    <row r="50" spans="1:32" x14ac:dyDescent="0.25">
      <c r="A50">
        <f t="shared" si="0"/>
        <v>45</v>
      </c>
      <c r="B50" t="str">
        <f>IF(A50&lt;('2. Inputs and results'!$B$21+1),A50," ")</f>
        <v xml:space="preserve"> </v>
      </c>
      <c r="C50" s="4" t="str">
        <f>IF(A50&lt;('2. Inputs and results'!$B$21+1),'2. Inputs and results'!$B$99+'2. Inputs and results'!$B$101," ")</f>
        <v xml:space="preserve"> </v>
      </c>
      <c r="D50" s="4" t="e">
        <f>IF(A50&lt;('2. Inputs and results'!$B$21+1),D49+C50,NA())</f>
        <v>#N/A</v>
      </c>
      <c r="E50" s="4" t="str">
        <f>IF(B50&lt;('2. Inputs and results'!$B$21+1),C50/((1+$P$2)^A50)," ")</f>
        <v xml:space="preserve"> </v>
      </c>
      <c r="F50" s="4" t="str">
        <f>IF(A50&lt;('2. Inputs and results'!$B$21+1),F49+E50," ")</f>
        <v xml:space="preserve"> </v>
      </c>
      <c r="G50" s="4" t="str">
        <f>IF(A50&lt;('2. Inputs and results'!$B$21+1),G49*(1+'2. Inputs and results'!$B$44)," ")</f>
        <v xml:space="preserve"> </v>
      </c>
      <c r="H50" s="4" t="str">
        <f>IF(A50&lt;('2. Inputs and results'!$B$21+1),H49*(1+'2. Inputs and results'!$B$56)," ")</f>
        <v xml:space="preserve"> </v>
      </c>
      <c r="I50" s="4" t="str">
        <f>IF(A50&lt;('2. Inputs and results'!$B$21+1),I49*(1+'2. Inputs and results'!$B$32)," ")</f>
        <v xml:space="preserve"> </v>
      </c>
      <c r="J50" s="4" t="str">
        <f>IF(A50&lt;('2. Inputs and results'!$B$21+1),J49*(1+'2. Inputs and results'!$B$66)," ")</f>
        <v xml:space="preserve"> </v>
      </c>
      <c r="K50" s="4" t="e">
        <f>IF('Solution 1, (hidden)'!A50&lt;('2. Inputs and results'!$B$21+1),K49+(G50+I50+H50+J50),NA())</f>
        <v>#N/A</v>
      </c>
      <c r="L50" s="4" t="e">
        <f>IF(A50&lt;('2. Inputs and results'!$B$21+1),L49,NA())</f>
        <v>#N/A</v>
      </c>
      <c r="M50" s="4" t="str">
        <f>IF(A50&lt;('2. Inputs and results'!$B$21+1),'2. Inputs and results'!$B$75*'2. Inputs and results'!$B$73," ")</f>
        <v xml:space="preserve"> </v>
      </c>
      <c r="N50" s="4" t="str">
        <f>IF(A50&lt;('2. Inputs and results'!$B$21+1),M50/((1+$P$2)^A50)," ")</f>
        <v xml:space="preserve"> </v>
      </c>
      <c r="O50" s="4" t="str">
        <f>IF(A50&lt;('2. Inputs and results'!$B$21+1),'2. Inputs and results'!$B$73*'2. Inputs and results'!$B$75+O49," ")</f>
        <v xml:space="preserve"> </v>
      </c>
      <c r="P50" s="4" t="str">
        <f>IF(A50&lt;('2. Inputs and results'!$B$21+1),(G50+I50+H50+J50)/((1+$P$2)^A50)," ")</f>
        <v xml:space="preserve"> </v>
      </c>
      <c r="Q50" s="4" t="str">
        <f>IF(A50&lt;('2. Inputs and results'!$B$21+1),Q49+P50," ")</f>
        <v xml:space="preserve"> </v>
      </c>
      <c r="R50" s="4" t="e">
        <f>IF(A50&lt;('2. Inputs and results'!$B$21+1),R49+G50+I50+J50+H50+T50-$V$6,NA())</f>
        <v>#N/A</v>
      </c>
      <c r="S50" s="4" t="str">
        <f>IF(A50&lt;('2. Inputs and results'!$B$21+1),'2. Inputs and results'!$B$79*(R49)," ")</f>
        <v xml:space="preserve"> </v>
      </c>
      <c r="T50" s="4">
        <f t="shared" si="1"/>
        <v>0</v>
      </c>
      <c r="U50" s="4" t="e">
        <f>IF(A50&lt;('2. Inputs and results'!$B$21+1),U49+(T50+I50+G50+H50+J50-$V$6)/((1+$P$2)^A50),NA())</f>
        <v>#N/A</v>
      </c>
      <c r="V50" s="4" t="str">
        <f>IF(A50&lt;('2. Inputs and results'!$B$21+1),V49+('2. Inputs and results'!$B$75*'2. Inputs and results'!$B$73)," ")</f>
        <v xml:space="preserve"> </v>
      </c>
      <c r="W50" s="4" t="e">
        <f>IF(A50&lt;('2. Inputs and results'!$B$21+1),W49+C50+Y50-$V$6,NA())</f>
        <v>#N/A</v>
      </c>
      <c r="X50" s="4" t="str">
        <f>IF(A50&lt;('2. Inputs and results'!$B$21+1),'2. Inputs and results'!$B$79*W49," ")</f>
        <v xml:space="preserve"> </v>
      </c>
      <c r="Y50" s="4">
        <f t="shared" si="2"/>
        <v>0</v>
      </c>
      <c r="Z50" s="4" t="e">
        <f>IF(A50&lt;('2. Inputs and results'!$B$21+1),Z49+(C50-$V$6+Y50)/((1+$P$2)^A50),NA())</f>
        <v>#N/A</v>
      </c>
      <c r="AA50" s="4" t="str">
        <f>IF(A50&lt;('2. Inputs and results'!$B$21+1),AA49+(G50+I50+H50+T50-$V$6)," ")</f>
        <v xml:space="preserve"> </v>
      </c>
      <c r="AB50" s="20" t="e">
        <f>IF(A50&lt;('2. Inputs and results'!$B$21+1),AA50/L50,NA())</f>
        <v>#N/A</v>
      </c>
      <c r="AC50" s="29" t="str">
        <f>IF(A50&lt;('2. Inputs and results'!$B$21+1),AC49+(C50+Y50-$V$6)," ")</f>
        <v xml:space="preserve"> </v>
      </c>
      <c r="AD50" s="20" t="e">
        <f>IF(A50&lt;('2. Inputs and results'!$B$21+1),AC50/L50,NA())</f>
        <v>#N/A</v>
      </c>
      <c r="AE50" t="str">
        <f>IF(A50&lt;('2. Inputs and results'!$B$21+1),-'2. Inputs and results'!$B$121*A50," ")</f>
        <v xml:space="preserve"> </v>
      </c>
      <c r="AF50" t="e">
        <f>IF(A50&lt;('2. Inputs and results'!$B$21+1),AE50/1000,NA())</f>
        <v>#N/A</v>
      </c>
    </row>
    <row r="51" spans="1:32" x14ac:dyDescent="0.25">
      <c r="A51">
        <f t="shared" si="0"/>
        <v>46</v>
      </c>
      <c r="B51" t="str">
        <f>IF(A51&lt;('2. Inputs and results'!$B$21+1),A51," ")</f>
        <v xml:space="preserve"> </v>
      </c>
      <c r="C51" s="4" t="str">
        <f>IF(A51&lt;('2. Inputs and results'!$B$21+1),'2. Inputs and results'!$B$99+'2. Inputs and results'!$B$101," ")</f>
        <v xml:space="preserve"> </v>
      </c>
      <c r="D51" s="4" t="e">
        <f>IF(A51&lt;('2. Inputs and results'!$B$21+1),D50+C51,NA())</f>
        <v>#N/A</v>
      </c>
      <c r="E51" s="4" t="str">
        <f>IF(B51&lt;('2. Inputs and results'!$B$21+1),C51/((1+$P$2)^A51)," ")</f>
        <v xml:space="preserve"> </v>
      </c>
      <c r="F51" s="4" t="str">
        <f>IF(A51&lt;('2. Inputs and results'!$B$21+1),F50+E51," ")</f>
        <v xml:space="preserve"> </v>
      </c>
      <c r="G51" s="4" t="str">
        <f>IF(A51&lt;('2. Inputs and results'!$B$21+1),G50*(1+'2. Inputs and results'!$B$44)," ")</f>
        <v xml:space="preserve"> </v>
      </c>
      <c r="H51" s="4" t="str">
        <f>IF(A51&lt;('2. Inputs and results'!$B$21+1),H50*(1+'2. Inputs and results'!$B$56)," ")</f>
        <v xml:space="preserve"> </v>
      </c>
      <c r="I51" s="4" t="str">
        <f>IF(A51&lt;('2. Inputs and results'!$B$21+1),I50*(1+'2. Inputs and results'!$B$32)," ")</f>
        <v xml:space="preserve"> </v>
      </c>
      <c r="J51" s="4" t="str">
        <f>IF(A51&lt;('2. Inputs and results'!$B$21+1),J50*(1+'2. Inputs and results'!$B$66)," ")</f>
        <v xml:space="preserve"> </v>
      </c>
      <c r="K51" s="4" t="e">
        <f>IF('Solution 1, (hidden)'!A51&lt;('2. Inputs and results'!$B$21+1),K50+(G51+I51+H51+J51),NA())</f>
        <v>#N/A</v>
      </c>
      <c r="L51" s="4" t="e">
        <f>IF(A51&lt;('2. Inputs and results'!$B$21+1),L50,NA())</f>
        <v>#N/A</v>
      </c>
      <c r="M51" s="4" t="str">
        <f>IF(A51&lt;('2. Inputs and results'!$B$21+1),'2. Inputs and results'!$B$75*'2. Inputs and results'!$B$73," ")</f>
        <v xml:space="preserve"> </v>
      </c>
      <c r="N51" s="4" t="str">
        <f>IF(A51&lt;('2. Inputs and results'!$B$21+1),M51/((1+$P$2)^A51)," ")</f>
        <v xml:space="preserve"> </v>
      </c>
      <c r="O51" s="4" t="str">
        <f>IF(A51&lt;('2. Inputs and results'!$B$21+1),'2. Inputs and results'!$B$73*'2. Inputs and results'!$B$75+O50," ")</f>
        <v xml:space="preserve"> </v>
      </c>
      <c r="P51" s="4" t="str">
        <f>IF(A51&lt;('2. Inputs and results'!$B$21+1),(G51+I51+H51+J51)/((1+$P$2)^A51)," ")</f>
        <v xml:space="preserve"> </v>
      </c>
      <c r="Q51" s="4" t="str">
        <f>IF(A51&lt;('2. Inputs and results'!$B$21+1),Q50+P51," ")</f>
        <v xml:space="preserve"> </v>
      </c>
      <c r="R51" s="4" t="e">
        <f>IF(A51&lt;('2. Inputs and results'!$B$21+1),R50+G51+I51+J51+H51+T51-$V$6,NA())</f>
        <v>#N/A</v>
      </c>
      <c r="S51" s="4" t="str">
        <f>IF(A51&lt;('2. Inputs and results'!$B$21+1),'2. Inputs and results'!$B$79*(R50)," ")</f>
        <v xml:space="preserve"> </v>
      </c>
      <c r="T51" s="4">
        <f t="shared" si="1"/>
        <v>0</v>
      </c>
      <c r="U51" s="4" t="e">
        <f>IF(A51&lt;('2. Inputs and results'!$B$21+1),U50+(T51+I51+G51+H51+J51-$V$6)/((1+$P$2)^A51),NA())</f>
        <v>#N/A</v>
      </c>
      <c r="V51" s="4" t="str">
        <f>IF(A51&lt;('2. Inputs and results'!$B$21+1),V50+('2. Inputs and results'!$B$75*'2. Inputs and results'!$B$73)," ")</f>
        <v xml:space="preserve"> </v>
      </c>
      <c r="W51" s="4" t="e">
        <f>IF(A51&lt;('2. Inputs and results'!$B$21+1),W50+C51+Y51-$V$6,NA())</f>
        <v>#N/A</v>
      </c>
      <c r="X51" s="4" t="str">
        <f>IF(A51&lt;('2. Inputs and results'!$B$21+1),'2. Inputs and results'!$B$79*W50," ")</f>
        <v xml:space="preserve"> </v>
      </c>
      <c r="Y51" s="4">
        <f t="shared" si="2"/>
        <v>0</v>
      </c>
      <c r="Z51" s="4" t="e">
        <f>IF(A51&lt;('2. Inputs and results'!$B$21+1),Z50+(C51-$V$6+Y51)/((1+$P$2)^A51),NA())</f>
        <v>#N/A</v>
      </c>
      <c r="AA51" s="4" t="str">
        <f>IF(A51&lt;('2. Inputs and results'!$B$21+1),AA50+(G51+I51+H51+T51-$V$6)," ")</f>
        <v xml:space="preserve"> </v>
      </c>
      <c r="AB51" s="20" t="e">
        <f>IF(A51&lt;('2. Inputs and results'!$B$21+1),AA51/L51,NA())</f>
        <v>#N/A</v>
      </c>
      <c r="AC51" s="29" t="str">
        <f>IF(A51&lt;('2. Inputs and results'!$B$21+1),AC50+(C51+Y51-$V$6)," ")</f>
        <v xml:space="preserve"> </v>
      </c>
      <c r="AD51" s="20" t="e">
        <f>IF(A51&lt;('2. Inputs and results'!$B$21+1),AC51/L51,NA())</f>
        <v>#N/A</v>
      </c>
      <c r="AE51" t="str">
        <f>IF(A51&lt;('2. Inputs and results'!$B$21+1),-'2. Inputs and results'!$B$121*A51," ")</f>
        <v xml:space="preserve"> </v>
      </c>
      <c r="AF51" t="e">
        <f>IF(A51&lt;('2. Inputs and results'!$B$21+1),AE51/1000,NA())</f>
        <v>#N/A</v>
      </c>
    </row>
    <row r="52" spans="1:32" x14ac:dyDescent="0.25">
      <c r="A52">
        <f t="shared" si="0"/>
        <v>47</v>
      </c>
      <c r="B52" t="str">
        <f>IF(A52&lt;('2. Inputs and results'!$B$21+1),A52," ")</f>
        <v xml:space="preserve"> </v>
      </c>
      <c r="C52" s="4" t="str">
        <f>IF(A52&lt;('2. Inputs and results'!$B$21+1),'2. Inputs and results'!$B$99+'2. Inputs and results'!$B$101," ")</f>
        <v xml:space="preserve"> </v>
      </c>
      <c r="D52" s="4" t="e">
        <f>IF(A52&lt;('2. Inputs and results'!$B$21+1),D51+C52,NA())</f>
        <v>#N/A</v>
      </c>
      <c r="E52" s="4" t="str">
        <f>IF(B52&lt;('2. Inputs and results'!$B$21+1),C52/((1+$P$2)^A52)," ")</f>
        <v xml:space="preserve"> </v>
      </c>
      <c r="F52" s="4" t="str">
        <f>IF(A52&lt;('2. Inputs and results'!$B$21+1),F51+E52," ")</f>
        <v xml:space="preserve"> </v>
      </c>
      <c r="G52" s="4" t="str">
        <f>IF(A52&lt;('2. Inputs and results'!$B$21+1),G51*(1+'2. Inputs and results'!$B$44)," ")</f>
        <v xml:space="preserve"> </v>
      </c>
      <c r="H52" s="4" t="str">
        <f>IF(A52&lt;('2. Inputs and results'!$B$21+1),H51*(1+'2. Inputs and results'!$B$56)," ")</f>
        <v xml:space="preserve"> </v>
      </c>
      <c r="I52" s="4" t="str">
        <f>IF(A52&lt;('2. Inputs and results'!$B$21+1),I51*(1+'2. Inputs and results'!$B$32)," ")</f>
        <v xml:space="preserve"> </v>
      </c>
      <c r="J52" s="4" t="str">
        <f>IF(A52&lt;('2. Inputs and results'!$B$21+1),J51*(1+'2. Inputs and results'!$B$66)," ")</f>
        <v xml:space="preserve"> </v>
      </c>
      <c r="K52" s="4" t="e">
        <f>IF('Solution 1, (hidden)'!A52&lt;('2. Inputs and results'!$B$21+1),K51+(G52+I52+H52+J52),NA())</f>
        <v>#N/A</v>
      </c>
      <c r="L52" s="4" t="e">
        <f>IF(A52&lt;('2. Inputs and results'!$B$21+1),L51,NA())</f>
        <v>#N/A</v>
      </c>
      <c r="M52" s="4" t="str">
        <f>IF(A52&lt;('2. Inputs and results'!$B$21+1),'2. Inputs and results'!$B$75*'2. Inputs and results'!$B$73," ")</f>
        <v xml:space="preserve"> </v>
      </c>
      <c r="N52" s="4" t="str">
        <f>IF(A52&lt;('2. Inputs and results'!$B$21+1),M52/((1+$P$2)^A52)," ")</f>
        <v xml:space="preserve"> </v>
      </c>
      <c r="O52" s="4" t="str">
        <f>IF(A52&lt;('2. Inputs and results'!$B$21+1),'2. Inputs and results'!$B$73*'2. Inputs and results'!$B$75+O51," ")</f>
        <v xml:space="preserve"> </v>
      </c>
      <c r="P52" s="4" t="str">
        <f>IF(A52&lt;('2. Inputs and results'!$B$21+1),(G52+I52+H52+J52)/((1+$P$2)^A52)," ")</f>
        <v xml:space="preserve"> </v>
      </c>
      <c r="Q52" s="4" t="str">
        <f>IF(A52&lt;('2. Inputs and results'!$B$21+1),Q51+P52," ")</f>
        <v xml:space="preserve"> </v>
      </c>
      <c r="R52" s="4" t="e">
        <f>IF(A52&lt;('2. Inputs and results'!$B$21+1),R51+G52+I52+J52+H52+T52-$V$6,NA())</f>
        <v>#N/A</v>
      </c>
      <c r="S52" s="4" t="str">
        <f>IF(A52&lt;('2. Inputs and results'!$B$21+1),'2. Inputs and results'!$B$79*(R51)," ")</f>
        <v xml:space="preserve"> </v>
      </c>
      <c r="T52" s="4">
        <f t="shared" si="1"/>
        <v>0</v>
      </c>
      <c r="U52" s="4" t="e">
        <f>IF(A52&lt;('2. Inputs and results'!$B$21+1),U51+(T52+I52+G52+H52+J52-$V$6)/((1+$P$2)^A52),NA())</f>
        <v>#N/A</v>
      </c>
      <c r="V52" s="4" t="str">
        <f>IF(A52&lt;('2. Inputs and results'!$B$21+1),V51+('2. Inputs and results'!$B$75*'2. Inputs and results'!$B$73)," ")</f>
        <v xml:space="preserve"> </v>
      </c>
      <c r="W52" s="4" t="e">
        <f>IF(A52&lt;('2. Inputs and results'!$B$21+1),W51+C52+Y52-$V$6,NA())</f>
        <v>#N/A</v>
      </c>
      <c r="X52" s="4" t="str">
        <f>IF(A52&lt;('2. Inputs and results'!$B$21+1),'2. Inputs and results'!$B$79*W51," ")</f>
        <v xml:space="preserve"> </v>
      </c>
      <c r="Y52" s="4">
        <f t="shared" si="2"/>
        <v>0</v>
      </c>
      <c r="Z52" s="4" t="e">
        <f>IF(A52&lt;('2. Inputs and results'!$B$21+1),Z51+(C52-$V$6+Y52)/((1+$P$2)^A52),NA())</f>
        <v>#N/A</v>
      </c>
      <c r="AA52" s="4" t="str">
        <f>IF(A52&lt;('2. Inputs and results'!$B$21+1),AA51+(G52+I52+H52+T52-$V$6)," ")</f>
        <v xml:space="preserve"> </v>
      </c>
      <c r="AB52" s="20" t="e">
        <f>IF(A52&lt;('2. Inputs and results'!$B$21+1),AA52/L52,NA())</f>
        <v>#N/A</v>
      </c>
      <c r="AC52" s="29" t="str">
        <f>IF(A52&lt;('2. Inputs and results'!$B$21+1),AC51+(C52+Y52-$V$6)," ")</f>
        <v xml:space="preserve"> </v>
      </c>
      <c r="AD52" s="20" t="e">
        <f>IF(A52&lt;('2. Inputs and results'!$B$21+1),AC52/L52,NA())</f>
        <v>#N/A</v>
      </c>
      <c r="AE52" t="str">
        <f>IF(A52&lt;('2. Inputs and results'!$B$21+1),-'2. Inputs and results'!$B$121*A52," ")</f>
        <v xml:space="preserve"> </v>
      </c>
      <c r="AF52" t="e">
        <f>IF(A52&lt;('2. Inputs and results'!$B$21+1),AE52/1000,NA())</f>
        <v>#N/A</v>
      </c>
    </row>
    <row r="53" spans="1:32" x14ac:dyDescent="0.25">
      <c r="A53">
        <f t="shared" si="0"/>
        <v>48</v>
      </c>
      <c r="B53" t="str">
        <f>IF(A53&lt;('2. Inputs and results'!$B$21+1),A53," ")</f>
        <v xml:space="preserve"> </v>
      </c>
      <c r="C53" s="4" t="str">
        <f>IF(A53&lt;('2. Inputs and results'!$B$21+1),'2. Inputs and results'!$B$99+'2. Inputs and results'!$B$101," ")</f>
        <v xml:space="preserve"> </v>
      </c>
      <c r="D53" s="4" t="e">
        <f>IF(A53&lt;('2. Inputs and results'!$B$21+1),D52+C53,NA())</f>
        <v>#N/A</v>
      </c>
      <c r="E53" s="4" t="str">
        <f>IF(B53&lt;('2. Inputs and results'!$B$21+1),C53/((1+$P$2)^A53)," ")</f>
        <v xml:space="preserve"> </v>
      </c>
      <c r="F53" s="4" t="str">
        <f>IF(A53&lt;('2. Inputs and results'!$B$21+1),F52+E53," ")</f>
        <v xml:space="preserve"> </v>
      </c>
      <c r="G53" s="4" t="str">
        <f>IF(A53&lt;('2. Inputs and results'!$B$21+1),G52*(1+'2. Inputs and results'!$B$44)," ")</f>
        <v xml:space="preserve"> </v>
      </c>
      <c r="H53" s="4" t="str">
        <f>IF(A53&lt;('2. Inputs and results'!$B$21+1),H52*(1+'2. Inputs and results'!$B$56)," ")</f>
        <v xml:space="preserve"> </v>
      </c>
      <c r="I53" s="4" t="str">
        <f>IF(A53&lt;('2. Inputs and results'!$B$21+1),I52*(1+'2. Inputs and results'!$B$32)," ")</f>
        <v xml:space="preserve"> </v>
      </c>
      <c r="J53" s="4" t="str">
        <f>IF(A53&lt;('2. Inputs and results'!$B$21+1),J52*(1+'2. Inputs and results'!$B$66)," ")</f>
        <v xml:space="preserve"> </v>
      </c>
      <c r="K53" s="4" t="e">
        <f>IF('Solution 1, (hidden)'!A53&lt;('2. Inputs and results'!$B$21+1),K52+(G53+I53+H53+J53),NA())</f>
        <v>#N/A</v>
      </c>
      <c r="L53" s="4" t="e">
        <f>IF(A53&lt;('2. Inputs and results'!$B$21+1),L52,NA())</f>
        <v>#N/A</v>
      </c>
      <c r="M53" s="4" t="str">
        <f>IF(A53&lt;('2. Inputs and results'!$B$21+1),'2. Inputs and results'!$B$75*'2. Inputs and results'!$B$73," ")</f>
        <v xml:space="preserve"> </v>
      </c>
      <c r="N53" s="4" t="str">
        <f>IF(A53&lt;('2. Inputs and results'!$B$21+1),M53/((1+$P$2)^A53)," ")</f>
        <v xml:space="preserve"> </v>
      </c>
      <c r="O53" s="4" t="str">
        <f>IF(A53&lt;('2. Inputs and results'!$B$21+1),'2. Inputs and results'!$B$73*'2. Inputs and results'!$B$75+O52," ")</f>
        <v xml:space="preserve"> </v>
      </c>
      <c r="P53" s="4" t="str">
        <f>IF(A53&lt;('2. Inputs and results'!$B$21+1),(G53+I53+H53+J53)/((1+$P$2)^A53)," ")</f>
        <v xml:space="preserve"> </v>
      </c>
      <c r="Q53" s="4" t="str">
        <f>IF(A53&lt;('2. Inputs and results'!$B$21+1),Q52+P53," ")</f>
        <v xml:space="preserve"> </v>
      </c>
      <c r="R53" s="4" t="e">
        <f>IF(A53&lt;('2. Inputs and results'!$B$21+1),R52+G53+I53+J53+H53+T53-$V$6,NA())</f>
        <v>#N/A</v>
      </c>
      <c r="S53" s="4" t="str">
        <f>IF(A53&lt;('2. Inputs and results'!$B$21+1),'2. Inputs and results'!$B$79*(R52)," ")</f>
        <v xml:space="preserve"> </v>
      </c>
      <c r="T53" s="4">
        <f t="shared" si="1"/>
        <v>0</v>
      </c>
      <c r="U53" s="4" t="e">
        <f>IF(A53&lt;('2. Inputs and results'!$B$21+1),U52+(T53+I53+G53+H53+J53-$V$6)/((1+$P$2)^A53),NA())</f>
        <v>#N/A</v>
      </c>
      <c r="V53" s="4" t="str">
        <f>IF(A53&lt;('2. Inputs and results'!$B$21+1),V52+('2. Inputs and results'!$B$75*'2. Inputs and results'!$B$73)," ")</f>
        <v xml:space="preserve"> </v>
      </c>
      <c r="W53" s="4" t="e">
        <f>IF(A53&lt;('2. Inputs and results'!$B$21+1),W52+C53+Y53-$V$6,NA())</f>
        <v>#N/A</v>
      </c>
      <c r="X53" s="4" t="str">
        <f>IF(A53&lt;('2. Inputs and results'!$B$21+1),'2. Inputs and results'!$B$79*W52," ")</f>
        <v xml:space="preserve"> </v>
      </c>
      <c r="Y53" s="4">
        <f t="shared" si="2"/>
        <v>0</v>
      </c>
      <c r="Z53" s="4" t="e">
        <f>IF(A53&lt;('2. Inputs and results'!$B$21+1),Z52+(C53-$V$6+Y53)/((1+$P$2)^A53),NA())</f>
        <v>#N/A</v>
      </c>
      <c r="AA53" s="4" t="str">
        <f>IF(A53&lt;('2. Inputs and results'!$B$21+1),AA52+(G53+I53+H53+T53-$V$6)," ")</f>
        <v xml:space="preserve"> </v>
      </c>
      <c r="AB53" s="20" t="e">
        <f>IF(A53&lt;('2. Inputs and results'!$B$21+1),AA53/L53,NA())</f>
        <v>#N/A</v>
      </c>
      <c r="AC53" s="29" t="str">
        <f>IF(A53&lt;('2. Inputs and results'!$B$21+1),AC52+(C53+Y53-$V$6)," ")</f>
        <v xml:space="preserve"> </v>
      </c>
      <c r="AD53" s="20" t="e">
        <f>IF(A53&lt;('2. Inputs and results'!$B$21+1),AC53/L53,NA())</f>
        <v>#N/A</v>
      </c>
      <c r="AE53" t="str">
        <f>IF(A53&lt;('2. Inputs and results'!$B$21+1),-'2. Inputs and results'!$B$121*A53," ")</f>
        <v xml:space="preserve"> </v>
      </c>
      <c r="AF53" t="e">
        <f>IF(A53&lt;('2. Inputs and results'!$B$21+1),AE53/1000,NA())</f>
        <v>#N/A</v>
      </c>
    </row>
    <row r="54" spans="1:32" x14ac:dyDescent="0.25">
      <c r="A54">
        <f t="shared" si="0"/>
        <v>49</v>
      </c>
      <c r="B54" t="str">
        <f>IF(A54&lt;('2. Inputs and results'!$B$21+1),A54," ")</f>
        <v xml:space="preserve"> </v>
      </c>
      <c r="C54" s="4" t="str">
        <f>IF(A54&lt;('2. Inputs and results'!$B$21+1),'2. Inputs and results'!$B$99+'2. Inputs and results'!$B$101," ")</f>
        <v xml:space="preserve"> </v>
      </c>
      <c r="D54" s="4" t="e">
        <f>IF(A54&lt;('2. Inputs and results'!$B$21+1),D53+C54,NA())</f>
        <v>#N/A</v>
      </c>
      <c r="E54" s="4" t="str">
        <f>IF(B54&lt;('2. Inputs and results'!$B$21+1),C54/((1+$P$2)^A54)," ")</f>
        <v xml:space="preserve"> </v>
      </c>
      <c r="F54" s="4" t="str">
        <f>IF(A54&lt;('2. Inputs and results'!$B$21+1),F53+E54," ")</f>
        <v xml:space="preserve"> </v>
      </c>
      <c r="G54" s="4" t="str">
        <f>IF(A54&lt;('2. Inputs and results'!$B$21+1),G53*(1+'2. Inputs and results'!$B$44)," ")</f>
        <v xml:space="preserve"> </v>
      </c>
      <c r="H54" s="4" t="str">
        <f>IF(A54&lt;('2. Inputs and results'!$B$21+1),H53*(1+'2. Inputs and results'!$B$56)," ")</f>
        <v xml:space="preserve"> </v>
      </c>
      <c r="I54" s="4" t="str">
        <f>IF(A54&lt;('2. Inputs and results'!$B$21+1),I53*(1+'2. Inputs and results'!$B$32)," ")</f>
        <v xml:space="preserve"> </v>
      </c>
      <c r="J54" s="4" t="str">
        <f>IF(A54&lt;('2. Inputs and results'!$B$21+1),J53*(1+'2. Inputs and results'!$B$66)," ")</f>
        <v xml:space="preserve"> </v>
      </c>
      <c r="K54" s="4" t="e">
        <f>IF('Solution 1, (hidden)'!A54&lt;('2. Inputs and results'!$B$21+1),K53+(G54+I54+H54+J54),NA())</f>
        <v>#N/A</v>
      </c>
      <c r="L54" s="4" t="e">
        <f>IF(A54&lt;('2. Inputs and results'!$B$21+1),L53,NA())</f>
        <v>#N/A</v>
      </c>
      <c r="M54" s="4" t="str">
        <f>IF(A54&lt;('2. Inputs and results'!$B$21+1),'2. Inputs and results'!$B$75*'2. Inputs and results'!$B$73," ")</f>
        <v xml:space="preserve"> </v>
      </c>
      <c r="N54" s="4" t="str">
        <f>IF(A54&lt;('2. Inputs and results'!$B$21+1),M54/((1+$P$2)^A54)," ")</f>
        <v xml:space="preserve"> </v>
      </c>
      <c r="O54" s="4" t="str">
        <f>IF(A54&lt;('2. Inputs and results'!$B$21+1),'2. Inputs and results'!$B$73*'2. Inputs and results'!$B$75+O53," ")</f>
        <v xml:space="preserve"> </v>
      </c>
      <c r="P54" s="4" t="str">
        <f>IF(A54&lt;('2. Inputs and results'!$B$21+1),(G54+I54+H54+J54)/((1+$P$2)^A54)," ")</f>
        <v xml:space="preserve"> </v>
      </c>
      <c r="Q54" s="4" t="str">
        <f>IF(A54&lt;('2. Inputs and results'!$B$21+1),Q53+P54," ")</f>
        <v xml:space="preserve"> </v>
      </c>
      <c r="R54" s="4" t="e">
        <f>IF(A54&lt;('2. Inputs and results'!$B$21+1),R53+G54+I54+J54+H54+T54-$V$6,NA())</f>
        <v>#N/A</v>
      </c>
      <c r="S54" s="4" t="str">
        <f>IF(A54&lt;('2. Inputs and results'!$B$21+1),'2. Inputs and results'!$B$79*(R53)," ")</f>
        <v xml:space="preserve"> </v>
      </c>
      <c r="T54" s="4">
        <f t="shared" si="1"/>
        <v>0</v>
      </c>
      <c r="U54" s="4" t="e">
        <f>IF(A54&lt;('2. Inputs and results'!$B$21+1),U53+(T54+I54+G54+H54+J54-$V$6)/((1+$P$2)^A54),NA())</f>
        <v>#N/A</v>
      </c>
      <c r="V54" s="4" t="str">
        <f>IF(A54&lt;('2. Inputs and results'!$B$21+1),V53+('2. Inputs and results'!$B$75*'2. Inputs and results'!$B$73)," ")</f>
        <v xml:space="preserve"> </v>
      </c>
      <c r="W54" s="4" t="e">
        <f>IF(A54&lt;('2. Inputs and results'!$B$21+1),W53+C54+Y54-$V$6,NA())</f>
        <v>#N/A</v>
      </c>
      <c r="X54" s="4" t="str">
        <f>IF(A54&lt;('2. Inputs and results'!$B$21+1),'2. Inputs and results'!$B$79*W53," ")</f>
        <v xml:space="preserve"> </v>
      </c>
      <c r="Y54" s="4">
        <f t="shared" si="2"/>
        <v>0</v>
      </c>
      <c r="Z54" s="4" t="e">
        <f>IF(A54&lt;('2. Inputs and results'!$B$21+1),Z53+(C54-$V$6+Y54)/((1+$P$2)^A54),NA())</f>
        <v>#N/A</v>
      </c>
      <c r="AA54" s="4" t="str">
        <f>IF(A54&lt;('2. Inputs and results'!$B$21+1),AA53+(G54+I54+H54+T54-$V$6)," ")</f>
        <v xml:space="preserve"> </v>
      </c>
      <c r="AB54" s="20" t="e">
        <f>IF(A54&lt;('2. Inputs and results'!$B$21+1),AA54/L54,NA())</f>
        <v>#N/A</v>
      </c>
      <c r="AC54" s="29" t="str">
        <f>IF(A54&lt;('2. Inputs and results'!$B$21+1),AC53+(C54+Y54-$V$6)," ")</f>
        <v xml:space="preserve"> </v>
      </c>
      <c r="AD54" s="20" t="e">
        <f>IF(A54&lt;('2. Inputs and results'!$B$21+1),AC54/L54,NA())</f>
        <v>#N/A</v>
      </c>
      <c r="AE54" t="str">
        <f>IF(A54&lt;('2. Inputs and results'!$B$21+1),-'2. Inputs and results'!$B$121*A54," ")</f>
        <v xml:space="preserve"> </v>
      </c>
      <c r="AF54" t="e">
        <f>IF(A54&lt;('2. Inputs and results'!$B$21+1),AE54/1000,NA())</f>
        <v>#N/A</v>
      </c>
    </row>
    <row r="55" spans="1:32" x14ac:dyDescent="0.25">
      <c r="A55">
        <f t="shared" si="0"/>
        <v>50</v>
      </c>
      <c r="B55" t="str">
        <f>IF(A55&lt;('2. Inputs and results'!$B$21+1),A55," ")</f>
        <v xml:space="preserve"> </v>
      </c>
      <c r="C55" s="4" t="str">
        <f>IF(A55&lt;('2. Inputs and results'!$B$21+1),'2. Inputs and results'!$B$99+'2. Inputs and results'!$B$101," ")</f>
        <v xml:space="preserve"> </v>
      </c>
      <c r="D55" s="4" t="e">
        <f>IF(A55&lt;('2. Inputs and results'!$B$21+1),D54+C55,NA())</f>
        <v>#N/A</v>
      </c>
      <c r="E55" s="4" t="str">
        <f>IF(B55&lt;('2. Inputs and results'!$B$21+1),C55/((1+$P$2)^A55)," ")</f>
        <v xml:space="preserve"> </v>
      </c>
      <c r="F55" s="4" t="str">
        <f>IF(A55&lt;('2. Inputs and results'!$B$21+1),F54+E55," ")</f>
        <v xml:space="preserve"> </v>
      </c>
      <c r="G55" s="4" t="str">
        <f>IF(A55&lt;('2. Inputs and results'!$B$21+1),G54*(1+'2. Inputs and results'!$B$44)," ")</f>
        <v xml:space="preserve"> </v>
      </c>
      <c r="H55" s="4" t="str">
        <f>IF(A55&lt;('2. Inputs and results'!$B$21+1),H54*(1+'2. Inputs and results'!$B$56)," ")</f>
        <v xml:space="preserve"> </v>
      </c>
      <c r="I55" s="4" t="str">
        <f>IF(A55&lt;('2. Inputs and results'!$B$21+1),I54*(1+'2. Inputs and results'!$B$32)," ")</f>
        <v xml:space="preserve"> </v>
      </c>
      <c r="J55" s="4" t="str">
        <f>IF(A55&lt;('2. Inputs and results'!$B$21+1),J54*(1+'2. Inputs and results'!$B$66)," ")</f>
        <v xml:space="preserve"> </v>
      </c>
      <c r="K55" s="4" t="e">
        <f>IF('Solution 1, (hidden)'!A55&lt;('2. Inputs and results'!$B$21+1),K54+(G55+I55+H55+J55),NA())</f>
        <v>#N/A</v>
      </c>
      <c r="L55" s="4" t="e">
        <f>IF(A55&lt;('2. Inputs and results'!$B$21+1),L54,NA())</f>
        <v>#N/A</v>
      </c>
      <c r="M55" s="4" t="str">
        <f>IF(A55&lt;('2. Inputs and results'!$B$21+1),'2. Inputs and results'!$B$75*'2. Inputs and results'!$B$73," ")</f>
        <v xml:space="preserve"> </v>
      </c>
      <c r="N55" s="4" t="str">
        <f>IF(A55&lt;('2. Inputs and results'!$B$21+1),M55/((1+$P$2)^A55)," ")</f>
        <v xml:space="preserve"> </v>
      </c>
      <c r="O55" s="4" t="str">
        <f>IF(A55&lt;('2. Inputs and results'!$B$21+1),'2. Inputs and results'!$B$73*'2. Inputs and results'!$B$75+O54," ")</f>
        <v xml:space="preserve"> </v>
      </c>
      <c r="P55" s="4" t="str">
        <f>IF(A55&lt;('2. Inputs and results'!$B$21+1),(G55+I55+H55+J55)/((1+$P$2)^A55)," ")</f>
        <v xml:space="preserve"> </v>
      </c>
      <c r="Q55" s="4" t="str">
        <f>IF(A55&lt;('2. Inputs and results'!$B$21+1),Q54+P55," ")</f>
        <v xml:space="preserve"> </v>
      </c>
      <c r="R55" s="4" t="e">
        <f>IF(A55&lt;('2. Inputs and results'!$B$21+1),R54+G55+I55+J55+H55+T55-$V$6,NA())</f>
        <v>#N/A</v>
      </c>
      <c r="S55" s="4" t="str">
        <f>IF(A55&lt;('2. Inputs and results'!$B$21+1),'2. Inputs and results'!$B$79*(R54)," ")</f>
        <v xml:space="preserve"> </v>
      </c>
      <c r="T55" s="4">
        <f t="shared" si="1"/>
        <v>0</v>
      </c>
      <c r="U55" s="4" t="e">
        <f>IF(A55&lt;('2. Inputs and results'!$B$21+1),U54+(T55+I55+G55+H55+J55-$V$6)/((1+$P$2)^A55),NA())</f>
        <v>#N/A</v>
      </c>
      <c r="V55" s="4" t="str">
        <f>IF(A55&lt;('2. Inputs and results'!$B$21+1),V54+('2. Inputs and results'!$B$75*'2. Inputs and results'!$B$73)," ")</f>
        <v xml:space="preserve"> </v>
      </c>
      <c r="W55" s="4" t="e">
        <f>IF(A55&lt;('2. Inputs and results'!$B$21+1),W54+C55+Y55-$V$6,NA())</f>
        <v>#N/A</v>
      </c>
      <c r="X55" s="4" t="str">
        <f>IF(A55&lt;('2. Inputs and results'!$B$21+1),'2. Inputs and results'!$B$79*W54," ")</f>
        <v xml:space="preserve"> </v>
      </c>
      <c r="Y55" s="4">
        <f t="shared" si="2"/>
        <v>0</v>
      </c>
      <c r="Z55" s="4" t="e">
        <f>IF(A55&lt;('2. Inputs and results'!$B$21+1),Z54+(C55-$V$6+Y55)/((1+$P$2)^A55),NA())</f>
        <v>#N/A</v>
      </c>
      <c r="AA55" s="4" t="str">
        <f>IF(A55&lt;('2. Inputs and results'!$B$21+1),AA54+(G55+I55+H55+T55-$V$6)," ")</f>
        <v xml:space="preserve"> </v>
      </c>
      <c r="AB55" s="20" t="e">
        <f>IF(A55&lt;('2. Inputs and results'!$B$21+1),AA55/L55,NA())</f>
        <v>#N/A</v>
      </c>
      <c r="AC55" s="29" t="str">
        <f>IF(A55&lt;('2. Inputs and results'!$B$21+1),AC54+(C55+Y55-$V$6)," ")</f>
        <v xml:space="preserve"> </v>
      </c>
      <c r="AD55" s="20" t="e">
        <f>IF(A55&lt;('2. Inputs and results'!$B$21+1),AC55/L55,NA())</f>
        <v>#N/A</v>
      </c>
      <c r="AE55" t="str">
        <f>IF(A55&lt;('2. Inputs and results'!$B$21+1),-'2. Inputs and results'!$B$121*A55," ")</f>
        <v xml:space="preserve"> </v>
      </c>
      <c r="AF55" t="e">
        <f>IF(A55&lt;('2. Inputs and results'!$B$21+1),AE55/1000,NA())</f>
        <v>#N/A</v>
      </c>
    </row>
    <row r="56" spans="1:32" x14ac:dyDescent="0.25">
      <c r="H56" s="4"/>
      <c r="J56" s="4"/>
      <c r="K56" s="4"/>
      <c r="P56" s="4"/>
    </row>
    <row r="57" spans="1:32" x14ac:dyDescent="0.25">
      <c r="H57" s="4"/>
      <c r="K57" s="4"/>
    </row>
    <row r="58" spans="1:32" x14ac:dyDescent="0.25">
      <c r="K58" s="4"/>
    </row>
    <row r="59" spans="1:32" x14ac:dyDescent="0.25">
      <c r="K59" s="4"/>
    </row>
    <row r="60" spans="1:32" x14ac:dyDescent="0.25">
      <c r="K60" s="4"/>
    </row>
  </sheetData>
  <sheetProtection sheet="1" objects="1" scenarios="1"/>
  <conditionalFormatting sqref="H56:H57 K56:K60 J56 A5:AF6 A7:O55 P7:P56 Q7:AF55">
    <cfRule type="cellIs" dxfId="21" priority="3" operator="equal">
      <formula>#N/A</formula>
    </cfRule>
    <cfRule type="cellIs" dxfId="20" priority="7" operator="equal">
      <formula>#N/A</formula>
    </cfRule>
    <cfRule type="cellIs" dxfId="19" priority="8" operator="equal">
      <formula>#N/A</formula>
    </cfRule>
  </conditionalFormatting>
  <conditionalFormatting sqref="D5:D55">
    <cfRule type="expression" dxfId="18" priority="5">
      <formula>#N/A</formula>
    </cfRule>
    <cfRule type="cellIs" dxfId="17" priority="6" operator="equal">
      <formula>#N/A</formula>
    </cfRule>
  </conditionalFormatting>
  <conditionalFormatting sqref="H56:H57 K56:K60 J56 A4:S6 A7:O55 P7:P56 Q7:S55">
    <cfRule type="cellIs" dxfId="16" priority="4" operator="equal">
      <formula>"PUUTTUU()"</formula>
    </cfRule>
  </conditionalFormatting>
  <conditionalFormatting sqref="H56:H57 K56:K60 J56 A4:AF6 A7:O55 P7:P56 Q7:AF55">
    <cfRule type="containsErrors" dxfId="15" priority="1">
      <formula>ISERROR(A4)</formula>
    </cfRule>
    <cfRule type="containsText" dxfId="14" priority="2" operator="containsText" text="#PUUTTUU!">
      <formula>NOT(ISERROR(SEARCH("#PUUTTUU!",A4)))</formula>
    </cfRule>
  </conditionalFormatting>
  <pageMargins left="0.7" right="0.7" top="0.75" bottom="0.75" header="0.3" footer="0.3"/>
  <pageSetup paperSize="9" scale="5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ul5">
    <pageSetUpPr fitToPage="1"/>
  </sheetPr>
  <dimension ref="A1:AF56"/>
  <sheetViews>
    <sheetView topLeftCell="U1" zoomScaleNormal="100" workbookViewId="0">
      <selection activeCell="V55" sqref="V55"/>
    </sheetView>
  </sheetViews>
  <sheetFormatPr defaultRowHeight="15" x14ac:dyDescent="0.25"/>
  <cols>
    <col min="1" max="2" width="27.42578125" customWidth="1"/>
    <col min="3" max="3" width="36.5703125" customWidth="1"/>
    <col min="4" max="4" width="34.85546875" customWidth="1"/>
    <col min="5" max="5" width="37.5703125" customWidth="1"/>
    <col min="6" max="6" width="44.140625" customWidth="1"/>
    <col min="7" max="8" width="24.85546875" customWidth="1"/>
    <col min="9" max="9" width="26.42578125" customWidth="1"/>
    <col min="10" max="10" width="26.42578125" style="39" customWidth="1"/>
    <col min="11" max="11" width="33.28515625" customWidth="1"/>
    <col min="12" max="14" width="19.5703125" customWidth="1"/>
    <col min="15" max="15" width="27.85546875" customWidth="1"/>
    <col min="16" max="16" width="32.140625" customWidth="1"/>
    <col min="17" max="17" width="21.7109375" customWidth="1"/>
    <col min="18" max="30" width="32.7109375" customWidth="1"/>
    <col min="31" max="31" width="17.5703125" customWidth="1"/>
  </cols>
  <sheetData>
    <row r="1" spans="1:32" x14ac:dyDescent="0.25">
      <c r="K1" s="11"/>
      <c r="P1" s="5"/>
      <c r="S1" s="11"/>
      <c r="T1" s="11"/>
      <c r="U1" s="15"/>
      <c r="V1" s="11"/>
      <c r="Z1" s="6" t="s">
        <v>38</v>
      </c>
      <c r="AA1" s="6"/>
      <c r="AB1" s="6"/>
      <c r="AC1" s="6"/>
      <c r="AD1" s="6"/>
    </row>
    <row r="2" spans="1:32" x14ac:dyDescent="0.25">
      <c r="O2" s="6" t="s">
        <v>12</v>
      </c>
      <c r="P2" s="14">
        <f>'2. Inputs and results'!C81</f>
        <v>0.04</v>
      </c>
      <c r="R2" s="15" t="s">
        <v>73</v>
      </c>
      <c r="S2" s="15"/>
      <c r="T2" s="15"/>
      <c r="U2" s="15"/>
      <c r="V2" s="15"/>
      <c r="W2" s="15" t="s">
        <v>73</v>
      </c>
      <c r="X2" s="15"/>
      <c r="Y2" s="15"/>
      <c r="Z2" s="15"/>
      <c r="AA2" s="15"/>
      <c r="AB2" s="15"/>
      <c r="AC2" s="15"/>
      <c r="AD2" s="15"/>
    </row>
    <row r="3" spans="1:32" x14ac:dyDescent="0.25">
      <c r="G3" s="25" t="s">
        <v>28</v>
      </c>
      <c r="H3" s="25"/>
      <c r="I3" s="11"/>
      <c r="J3" s="11"/>
      <c r="K3" s="11"/>
      <c r="R3" s="15"/>
      <c r="S3" s="15"/>
      <c r="T3" s="15"/>
      <c r="V3" s="15"/>
      <c r="W3" s="15"/>
      <c r="X3" s="15"/>
      <c r="Y3" s="15"/>
      <c r="AA3" t="s">
        <v>156</v>
      </c>
      <c r="AB3" t="s">
        <v>156</v>
      </c>
      <c r="AC3" t="s">
        <v>156</v>
      </c>
      <c r="AD3" t="s">
        <v>156</v>
      </c>
      <c r="AE3" t="s">
        <v>31</v>
      </c>
    </row>
    <row r="4" spans="1:32" x14ac:dyDescent="0.25">
      <c r="A4" t="s">
        <v>0</v>
      </c>
      <c r="C4" s="7" t="s">
        <v>153</v>
      </c>
      <c r="D4" s="7" t="s">
        <v>27</v>
      </c>
      <c r="E4" s="7" t="s">
        <v>59</v>
      </c>
      <c r="F4" s="7" t="s">
        <v>66</v>
      </c>
      <c r="G4" s="12" t="s">
        <v>29</v>
      </c>
      <c r="H4" s="12" t="s">
        <v>103</v>
      </c>
      <c r="I4" s="12" t="s">
        <v>30</v>
      </c>
      <c r="J4" s="12" t="s">
        <v>155</v>
      </c>
      <c r="K4" s="4" t="s">
        <v>13</v>
      </c>
      <c r="L4" s="4" t="s">
        <v>56</v>
      </c>
      <c r="M4" s="4" t="s">
        <v>34</v>
      </c>
      <c r="N4" s="4" t="s">
        <v>46</v>
      </c>
      <c r="O4" s="4" t="s">
        <v>14</v>
      </c>
      <c r="P4" s="4" t="s">
        <v>15</v>
      </c>
      <c r="Q4" s="4" t="s">
        <v>16</v>
      </c>
      <c r="R4" s="16" t="s">
        <v>42</v>
      </c>
      <c r="S4" s="16" t="s">
        <v>36</v>
      </c>
      <c r="T4" s="16" t="s">
        <v>52</v>
      </c>
      <c r="U4" s="16" t="s">
        <v>39</v>
      </c>
      <c r="V4" s="16" t="s">
        <v>34</v>
      </c>
      <c r="W4" s="7" t="s">
        <v>1</v>
      </c>
      <c r="X4" s="7" t="s">
        <v>36</v>
      </c>
      <c r="Y4" s="7" t="s">
        <v>52</v>
      </c>
      <c r="Z4" s="16" t="s">
        <v>40</v>
      </c>
      <c r="AA4" s="16" t="s">
        <v>76</v>
      </c>
      <c r="AB4" s="15" t="s">
        <v>44</v>
      </c>
      <c r="AC4" s="15" t="s">
        <v>77</v>
      </c>
      <c r="AD4" s="15" t="s">
        <v>43</v>
      </c>
      <c r="AE4" t="s">
        <v>33</v>
      </c>
      <c r="AF4" t="s">
        <v>32</v>
      </c>
    </row>
    <row r="5" spans="1:32" x14ac:dyDescent="0.25">
      <c r="A5">
        <v>0</v>
      </c>
      <c r="B5">
        <f>IF(A5&lt;('2. Inputs and results'!$C$21+1),A5," ")</f>
        <v>0</v>
      </c>
      <c r="C5" s="4">
        <v>0</v>
      </c>
      <c r="D5" s="4">
        <f>C5</f>
        <v>0</v>
      </c>
      <c r="E5" s="4"/>
      <c r="F5" s="4"/>
      <c r="G5" s="4">
        <v>0</v>
      </c>
      <c r="H5" s="4">
        <v>0</v>
      </c>
      <c r="I5" s="4">
        <v>0</v>
      </c>
      <c r="J5" s="4">
        <v>0</v>
      </c>
      <c r="K5" s="4">
        <f>G5+I5+H5</f>
        <v>0</v>
      </c>
      <c r="L5" s="4">
        <f>'2. Inputs and results'!$C$73-('2. Inputs and results'!C77*'2. Inputs and results'!C73)</f>
        <v>212500</v>
      </c>
      <c r="M5" s="4"/>
      <c r="N5" s="4"/>
      <c r="O5" s="4"/>
      <c r="P5" s="4"/>
      <c r="Q5" s="4"/>
      <c r="R5" s="4">
        <f>-L5</f>
        <v>-212500</v>
      </c>
      <c r="S5" s="4"/>
      <c r="T5" s="4"/>
      <c r="U5" s="4">
        <f>R5</f>
        <v>-212500</v>
      </c>
      <c r="V5" s="4"/>
      <c r="W5" s="4">
        <f>-L5</f>
        <v>-212500</v>
      </c>
      <c r="X5" s="4"/>
      <c r="Y5" s="4"/>
      <c r="Z5" s="4">
        <f>W5</f>
        <v>-212500</v>
      </c>
      <c r="AA5" s="4">
        <f>G5+I5+H5+T5-$V$5</f>
        <v>0</v>
      </c>
      <c r="AB5" s="20">
        <f>IF(A5&lt;('2. Inputs and results'!$C$21+1),AA5/L5,NA())</f>
        <v>0</v>
      </c>
      <c r="AC5" s="29">
        <f>C5+Y5-$V$5</f>
        <v>0</v>
      </c>
      <c r="AD5" s="20">
        <f>IF(A5&lt;('2. Inputs and results'!$C$21+1),AC5/L5,NA())</f>
        <v>0</v>
      </c>
      <c r="AE5">
        <f>IF(A5&lt;('2. Inputs and results'!$C$21+1),-'2. Inputs and results'!$C$121*A5," ")</f>
        <v>0</v>
      </c>
      <c r="AF5">
        <f>IF(A5&lt;('2. Inputs and results'!$C$21+1),AE5/1000,NA())</f>
        <v>0</v>
      </c>
    </row>
    <row r="6" spans="1:32" x14ac:dyDescent="0.25">
      <c r="A6">
        <f>A5+1</f>
        <v>1</v>
      </c>
      <c r="B6">
        <f>IF(A6&lt;('2. Inputs and results'!$C$21+1),A6," ")</f>
        <v>1</v>
      </c>
      <c r="C6" s="4">
        <f>IF(A6&lt;('2. Inputs and results'!$C$21+1),'2. Inputs and results'!$C$99+'2. Inputs and results'!$C$101," ")</f>
        <v>24600</v>
      </c>
      <c r="D6" s="4">
        <f>C6</f>
        <v>24600</v>
      </c>
      <c r="E6" s="4">
        <f>IF(A6&lt;('2. Inputs and results'!$C$21+1),C6/((1+$P$2)^A6)," ")</f>
        <v>23653.846153846152</v>
      </c>
      <c r="F6" s="4">
        <f>E6</f>
        <v>23653.846153846152</v>
      </c>
      <c r="G6" s="4">
        <f>'2. Inputs and results'!C93</f>
        <v>45000</v>
      </c>
      <c r="H6" s="4">
        <f>'2. Inputs and results'!C97</f>
        <v>0</v>
      </c>
      <c r="I6" s="4">
        <f>'2. Inputs and results'!C95</f>
        <v>-20400</v>
      </c>
      <c r="J6" s="4">
        <f>'2. Inputs and results'!$C$101</f>
        <v>0</v>
      </c>
      <c r="K6" s="4">
        <f>G6+I6+H6+J6</f>
        <v>24600</v>
      </c>
      <c r="L6" s="4">
        <f>'2. Inputs and results'!$C$73-('2. Inputs and results'!C77*'2. Inputs and results'!C73)</f>
        <v>212500</v>
      </c>
      <c r="M6" s="4">
        <f>IF(A6&lt;('2. Inputs and results'!$C$21+1),'2. Inputs and results'!$C$75*'2. Inputs and results'!$C$73," ")</f>
        <v>2500</v>
      </c>
      <c r="N6" s="4">
        <f>IF(A6&lt;('2. Inputs and results'!$C$21+1),M6/((1+$P$2)^A6)," ")</f>
        <v>2403.8461538461538</v>
      </c>
      <c r="O6" s="4">
        <f>L6</f>
        <v>212500</v>
      </c>
      <c r="P6" s="4">
        <f>IF(A6&lt;('2. Inputs and results'!$C$21+1),(G6+I6+H6+J6)/((1+$P$2)^A6)," ")</f>
        <v>23653.846153846152</v>
      </c>
      <c r="Q6" s="4">
        <f>P6</f>
        <v>23653.846153846152</v>
      </c>
      <c r="R6" s="4">
        <f>-L6+G6+I6+H6+J6+T6-$V$6</f>
        <v>-194650</v>
      </c>
      <c r="S6" s="4">
        <f>IF(A6&lt;('2. Inputs and results'!$C$21+1),'2. Inputs and results'!$C$79*(R5)," ")</f>
        <v>-4250</v>
      </c>
      <c r="T6" s="4">
        <f>IF(S6&lt;0,S6,0)</f>
        <v>-4250</v>
      </c>
      <c r="U6" s="4">
        <f>IF(A6&lt;('2. Inputs and results'!$C$21+1),U5+((G6+I6+H6+J6-$V$6+T6)/((1+$P$2)^A6)),NA())</f>
        <v>-195336.53846153847</v>
      </c>
      <c r="V6" s="4">
        <f>'2. Inputs and results'!$C$75*'2. Inputs and results'!$C$73</f>
        <v>2500</v>
      </c>
      <c r="W6" s="4">
        <f>-L6+C6+Y6-$V$6</f>
        <v>-194650</v>
      </c>
      <c r="X6" s="4">
        <f>IF(A6&lt;('2. Inputs and results'!$C$21+1),'2. Inputs and results'!$C$79*(W5)," ")</f>
        <v>-4250</v>
      </c>
      <c r="Y6" s="4">
        <f>IF(X6&lt;0,X6,0)</f>
        <v>-4250</v>
      </c>
      <c r="Z6" s="4">
        <f>IF(A6&lt;('2. Inputs and results'!$C$21+1),Z5+((C6-$V$6+Y6)/((1+$P$2)^A6)),NA())</f>
        <v>-195336.53846153847</v>
      </c>
      <c r="AA6" s="4">
        <f>IF(A6&lt;('2. Inputs and results'!$C$21+1),AA5+G6+I6+H6+T6-$V$6," ")</f>
        <v>17850</v>
      </c>
      <c r="AB6" s="20">
        <f>IF(A6&lt;('2. Inputs and results'!$C$21+1),AA6/L6,NA())</f>
        <v>8.4000000000000005E-2</v>
      </c>
      <c r="AC6" s="29">
        <f>IF(A6&lt;('2. Inputs and results'!$C$21+1),AC5+C6+Y6-$V$6," ")</f>
        <v>17850</v>
      </c>
      <c r="AD6" s="20">
        <f>IF(A6&lt;('2. Inputs and results'!$C$21+1),AC6/L6,NA())</f>
        <v>8.4000000000000005E-2</v>
      </c>
      <c r="AE6">
        <f>IF(A6&lt;('2. Inputs and results'!$C$21+1),-'2. Inputs and results'!$C$121*A6," ")</f>
        <v>-46000</v>
      </c>
      <c r="AF6">
        <f>IF(A6&lt;('2. Inputs and results'!$C$21+1),AE6/1000,NA())</f>
        <v>-46</v>
      </c>
    </row>
    <row r="7" spans="1:32" x14ac:dyDescent="0.25">
      <c r="A7">
        <f t="shared" ref="A7:A55" si="0">A6+1</f>
        <v>2</v>
      </c>
      <c r="B7">
        <f>IF(A7&lt;('2. Inputs and results'!$C$21+1),A7," ")</f>
        <v>2</v>
      </c>
      <c r="C7" s="4">
        <f>IF(A7&lt;('2. Inputs and results'!$C$21+1),'2. Inputs and results'!$C$99+'2. Inputs and results'!$C$101," ")</f>
        <v>24600</v>
      </c>
      <c r="D7" s="4">
        <f>IF(A7&lt;('2. Inputs and results'!$C$21+1),D6+C7,NA())</f>
        <v>49200</v>
      </c>
      <c r="E7" s="4">
        <f>IF(A7&lt;('2. Inputs and results'!$C$21+1),C7/((1+$P$2)^A7)," ")</f>
        <v>22744.082840236682</v>
      </c>
      <c r="F7" s="4">
        <f>IF(B7&lt;('2. Inputs and results'!$C$21+1),F6+E7," ")</f>
        <v>46397.928994082831</v>
      </c>
      <c r="G7" s="4">
        <f>IF(A7&lt;('2. Inputs and results'!$C$21+1),G6*(1+'2. Inputs and results'!$C$44)," ")</f>
        <v>46350</v>
      </c>
      <c r="H7" s="4">
        <f>IF(A7&lt;('2. Inputs and results'!$C$21+1),H6*(1+'2. Inputs and results'!$C$56)," ")</f>
        <v>0</v>
      </c>
      <c r="I7" s="4">
        <f>IF(A7&lt;('2. Inputs and results'!$C$21+1),I6*(1+'2. Inputs and results'!$C$32)," ")</f>
        <v>-21012</v>
      </c>
      <c r="J7" s="4">
        <f>IF(A7&lt;('2. Inputs and results'!$C$21+1),J6*(1+'2. Inputs and results'!$C$66)," ")</f>
        <v>0</v>
      </c>
      <c r="K7" s="4">
        <f>IF(A7&lt;('2. Inputs and results'!$C$21+1),K6+(G7+I7+H7+J7),NA())</f>
        <v>49938</v>
      </c>
      <c r="L7" s="4">
        <f>IF(A7&lt;('2. Inputs and results'!$C$21+1),L6,NA())</f>
        <v>212500</v>
      </c>
      <c r="M7" s="4">
        <f>IF(A7&lt;('2. Inputs and results'!$C$21+1),'2. Inputs and results'!$C$75*'2. Inputs and results'!$C$73," ")</f>
        <v>2500</v>
      </c>
      <c r="N7" s="4">
        <f>IF(A7&lt;('2. Inputs and results'!$C$21+1),M7/((1+$P$2)^A7)," ")</f>
        <v>2311.3905325443784</v>
      </c>
      <c r="O7" s="4">
        <f>IF(A7&lt;('2. Inputs and results'!$C$21+1),'2. Inputs and results'!$C$73*'2. Inputs and results'!$C$75+O6," ")</f>
        <v>215000</v>
      </c>
      <c r="P7" s="4">
        <f>IF(A7&lt;('2. Inputs and results'!$C$21+1),(G7+I7+H7+J7)/((1+$P$2)^A7)," ")</f>
        <v>23426.405325443786</v>
      </c>
      <c r="Q7" s="4">
        <f>IF(A7&lt;('2. Inputs and results'!$C$21+1),Q6+P7," ")</f>
        <v>47080.251479289938</v>
      </c>
      <c r="R7" s="4">
        <f>IF(A7&lt;('2. Inputs and results'!$C$21+1),R6+G7+I7+H7+J7+T7-$V$6,NA())</f>
        <v>-175705</v>
      </c>
      <c r="S7" s="4">
        <f>IF(A7&lt;('2. Inputs and results'!$C$21+1),'2. Inputs and results'!$C$79*(R6)," ")</f>
        <v>-3893</v>
      </c>
      <c r="T7" s="4">
        <f t="shared" ref="T7:T55" si="1">IF(S7&lt;0,S7,0)</f>
        <v>-3893</v>
      </c>
      <c r="U7" s="4">
        <f>IF(A7&lt;('2. Inputs and results'!$C$21+1),U6+((G7+I7+H7+J7-$V$6+T7)/((1+$P$2)^A7)),NA())</f>
        <v>-177820.82100591715</v>
      </c>
      <c r="V7" s="4">
        <f>IF(A7&lt;('2. Inputs and results'!$C$21+1),V6+('2. Inputs and results'!$C$75*'2. Inputs and results'!$C$73)," ")</f>
        <v>5000</v>
      </c>
      <c r="W7" s="4">
        <f>IF(A7&lt;('2. Inputs and results'!$C$21+1),W6+C7+Y7-$V$6,NA())</f>
        <v>-176443</v>
      </c>
      <c r="X7" s="4">
        <f>IF(A7&lt;('2. Inputs and results'!$C$21+1),'2. Inputs and results'!$C$79*(W6)," ")</f>
        <v>-3893</v>
      </c>
      <c r="Y7" s="4">
        <f t="shared" ref="Y7:Y55" si="2">IF(X7&lt;0,X7,0)</f>
        <v>-3893</v>
      </c>
      <c r="Z7" s="4">
        <f>IF(A7&lt;('2. Inputs and results'!$C$21+1),Z6+((C7-$V$6+Y7)/((1+$P$2)^A7)),NA())</f>
        <v>-178503.14349112427</v>
      </c>
      <c r="AA7" s="4">
        <f>IF(A7&lt;('2. Inputs and results'!$C$21+1),AA6+G7+I7+H7+T7-$V$6," ")</f>
        <v>36795</v>
      </c>
      <c r="AB7" s="20">
        <f>IF(A7&lt;('2. Inputs and results'!$C$21+1),AA7/L7,NA())</f>
        <v>0.17315294117647059</v>
      </c>
      <c r="AC7" s="29">
        <f>IF(A7&lt;('2. Inputs and results'!$C$21+1),AC6+C7+Y7-$V$6," ")</f>
        <v>36057</v>
      </c>
      <c r="AD7" s="20">
        <f>IF(A7&lt;('2. Inputs and results'!$C$21+1),AC7/L7,NA())</f>
        <v>0.16968</v>
      </c>
      <c r="AE7">
        <f>IF(A7&lt;('2. Inputs and results'!$C$21+1),-'2. Inputs and results'!$C$121*A7," ")</f>
        <v>-92000</v>
      </c>
      <c r="AF7">
        <f>IF(A7&lt;('2. Inputs and results'!$C$21+1),AE7/1000,NA())</f>
        <v>-92</v>
      </c>
    </row>
    <row r="8" spans="1:32" x14ac:dyDescent="0.25">
      <c r="A8">
        <f t="shared" si="0"/>
        <v>3</v>
      </c>
      <c r="B8">
        <f>IF(A8&lt;('2. Inputs and results'!$C$21+1),A8," ")</f>
        <v>3</v>
      </c>
      <c r="C8" s="4">
        <f>IF(A8&lt;('2. Inputs and results'!$C$21+1),'2. Inputs and results'!$C$99+'2. Inputs and results'!$C$101," ")</f>
        <v>24600</v>
      </c>
      <c r="D8" s="4">
        <f>IF(A8&lt;('2. Inputs and results'!$C$21+1),D7+C8,NA())</f>
        <v>73800</v>
      </c>
      <c r="E8" s="4">
        <f>IF(A8&lt;('2. Inputs and results'!$C$21+1),C8/((1+$P$2)^A8)," ")</f>
        <v>21869.310423304505</v>
      </c>
      <c r="F8" s="4">
        <f>IF(B8&lt;('2. Inputs and results'!$C$21+1),F7+E8," ")</f>
        <v>68267.239417387333</v>
      </c>
      <c r="G8" s="4">
        <f>IF(A8&lt;('2. Inputs and results'!$C$21+1),G7*(1+'2. Inputs and results'!$C$44)," ")</f>
        <v>47740.5</v>
      </c>
      <c r="H8" s="4">
        <f>IF(A8&lt;('2. Inputs and results'!$C$21+1),H7*(1+'2. Inputs and results'!$C$56)," ")</f>
        <v>0</v>
      </c>
      <c r="I8" s="4">
        <f>IF(A8&lt;('2. Inputs and results'!$C$21+1),I7*(1+'2. Inputs and results'!$C$32)," ")</f>
        <v>-21642.36</v>
      </c>
      <c r="J8" s="4">
        <f>IF(A8&lt;('2. Inputs and results'!$C$21+1),J7*(1+'2. Inputs and results'!$C$66)," ")</f>
        <v>0</v>
      </c>
      <c r="K8" s="4">
        <f>IF(A8&lt;('2. Inputs and results'!$C$21+1),K7+(G8+I8+H8+J8),NA())</f>
        <v>76036.14</v>
      </c>
      <c r="L8" s="4">
        <f>IF(A8&lt;('2. Inputs and results'!$C$21+1),L7,NA())</f>
        <v>212500</v>
      </c>
      <c r="M8" s="4">
        <f>IF(A8&lt;('2. Inputs and results'!$C$21+1),'2. Inputs and results'!$C$75*'2. Inputs and results'!$C$73," ")</f>
        <v>2500</v>
      </c>
      <c r="N8" s="4">
        <f>IF(A8&lt;('2. Inputs and results'!$C$21+1),M8/((1+$P$2)^A8)," ")</f>
        <v>2222.4908966772869</v>
      </c>
      <c r="O8" s="4">
        <f>IF(A8&lt;('2. Inputs and results'!$C$21+1),'2. Inputs and results'!$C$73*'2. Inputs and results'!$C$75+O7," ")</f>
        <v>217500</v>
      </c>
      <c r="P8" s="4">
        <f>IF(A8&lt;('2. Inputs and results'!$C$21+1),(G8+I8+H8+J8)/((1+$P$2)^A8)," ")</f>
        <v>23201.151428083747</v>
      </c>
      <c r="Q8" s="4">
        <f>IF(A8&lt;('2. Inputs and results'!$C$21+1),Q7+P8," ")</f>
        <v>70281.402907373689</v>
      </c>
      <c r="R8" s="4">
        <f>IF(A8&lt;('2. Inputs and results'!$C$21+1),R7+G8+I8+H8+J8+T8-$V$6,NA())</f>
        <v>-155620.96</v>
      </c>
      <c r="S8" s="4">
        <f>IF(A8&lt;('2. Inputs and results'!$C$21+1),'2. Inputs and results'!$C$79*(R7)," ")</f>
        <v>-3514.1</v>
      </c>
      <c r="T8" s="4">
        <f t="shared" si="1"/>
        <v>-3514.1</v>
      </c>
      <c r="U8" s="4">
        <f>IF(A8&lt;('2. Inputs and results'!$C$21+1),U7+((G8+I8+H8+J8-$V$6+T8)/((1+$P$2)^A8)),NA())</f>
        <v>-159966.18257851616</v>
      </c>
      <c r="V8" s="4">
        <f>IF(A8&lt;('2. Inputs and results'!$C$21+1),V7+('2. Inputs and results'!$C$75*'2. Inputs and results'!$C$73)," ")</f>
        <v>7500</v>
      </c>
      <c r="W8" s="4">
        <f>IF(A8&lt;('2. Inputs and results'!$C$21+1),W7+C8+Y8-$V$6,NA())</f>
        <v>-157871.85999999999</v>
      </c>
      <c r="X8" s="4">
        <f>IF(A8&lt;('2. Inputs and results'!$C$21+1),'2. Inputs and results'!$C$79*(W7)," ")</f>
        <v>-3528.86</v>
      </c>
      <c r="Y8" s="4">
        <f t="shared" si="2"/>
        <v>-3528.86</v>
      </c>
      <c r="Z8" s="4">
        <f>IF(A8&lt;('2. Inputs and results'!$C$21+1),Z7+((C8-$V$6+Y8)/((1+$P$2)^A8)),NA())</f>
        <v>-161993.4676547565</v>
      </c>
      <c r="AA8" s="4">
        <f>IF(A8&lt;('2. Inputs and results'!$C$21+1),AA7+G8+I8+H8+T8-$V$6," ")</f>
        <v>56879.040000000001</v>
      </c>
      <c r="AB8" s="20">
        <f>IF(A8&lt;('2. Inputs and results'!$C$21+1),AA8/L8,NA())</f>
        <v>0.26766607058823527</v>
      </c>
      <c r="AC8" s="29">
        <f>IF(A8&lt;('2. Inputs and results'!$C$21+1),AC7+C8+Y8-$V$6," ")</f>
        <v>54628.14</v>
      </c>
      <c r="AD8" s="20">
        <f>IF(A8&lt;('2. Inputs and results'!$C$21+1),AC8/L8,NA())</f>
        <v>0.25707360000000001</v>
      </c>
      <c r="AE8">
        <f>IF(A8&lt;('2. Inputs and results'!$C$21+1),-'2. Inputs and results'!$C$121*A8," ")</f>
        <v>-138000</v>
      </c>
      <c r="AF8">
        <f>IF(A8&lt;('2. Inputs and results'!$C$21+1),AE8/1000,NA())</f>
        <v>-138</v>
      </c>
    </row>
    <row r="9" spans="1:32" x14ac:dyDescent="0.25">
      <c r="A9">
        <f t="shared" si="0"/>
        <v>4</v>
      </c>
      <c r="B9">
        <f>IF(A9&lt;('2. Inputs and results'!$C$21+1),A9," ")</f>
        <v>4</v>
      </c>
      <c r="C9" s="4">
        <f>IF(A9&lt;('2. Inputs and results'!$C$21+1),'2. Inputs and results'!$C$99+'2. Inputs and results'!$C$101," ")</f>
        <v>24600</v>
      </c>
      <c r="D9" s="4">
        <f>IF(A9&lt;('2. Inputs and results'!$C$21+1),D8+C9,NA())</f>
        <v>98400</v>
      </c>
      <c r="E9" s="4">
        <f>IF(A9&lt;('2. Inputs and results'!$C$21+1),C9/((1+$P$2)^A9)," ")</f>
        <v>21028.183099331251</v>
      </c>
      <c r="F9" s="4">
        <f>IF(B9&lt;('2. Inputs and results'!$C$21+1),F8+E9," ")</f>
        <v>89295.42251671858</v>
      </c>
      <c r="G9" s="4">
        <f>IF(A9&lt;('2. Inputs and results'!$C$21+1),G8*(1+'2. Inputs and results'!$C$44)," ")</f>
        <v>49172.715000000004</v>
      </c>
      <c r="H9" s="4">
        <f>IF(A9&lt;('2. Inputs and results'!$C$21+1),H8*(1+'2. Inputs and results'!$C$56)," ")</f>
        <v>0</v>
      </c>
      <c r="I9" s="4">
        <f>IF(A9&lt;('2. Inputs and results'!$C$21+1),I8*(1+'2. Inputs and results'!$C$32)," ")</f>
        <v>-22291.630800000003</v>
      </c>
      <c r="J9" s="4">
        <f>IF(A9&lt;('2. Inputs and results'!$C$21+1),J8*(1+'2. Inputs and results'!$C$66)," ")</f>
        <v>0</v>
      </c>
      <c r="K9" s="4">
        <f>IF(A9&lt;('2. Inputs and results'!$C$21+1),K8+(G9+I9+H9+J9),NA())</f>
        <v>102917.2242</v>
      </c>
      <c r="L9" s="4">
        <f>IF(A9&lt;('2. Inputs and results'!$C$21+1),L8,NA())</f>
        <v>212500</v>
      </c>
      <c r="M9" s="4">
        <f>IF(A9&lt;('2. Inputs and results'!$C$21+1),'2. Inputs and results'!$C$75*'2. Inputs and results'!$C$73," ")</f>
        <v>2500</v>
      </c>
      <c r="N9" s="4">
        <f>IF(A9&lt;('2. Inputs and results'!$C$21+1),M9/((1+$P$2)^A9)," ")</f>
        <v>2137.0104775743143</v>
      </c>
      <c r="O9" s="4">
        <f>IF(A9&lt;('2. Inputs and results'!$C$21+1),'2. Inputs and results'!$C$73*'2. Inputs and results'!$C$75+O8," ")</f>
        <v>220000</v>
      </c>
      <c r="P9" s="4">
        <f>IF(A9&lt;('2. Inputs and results'!$C$21+1),(G9+I9+H9+J9)/((1+$P$2)^A9)," ")</f>
        <v>22978.063433582942</v>
      </c>
      <c r="Q9" s="4">
        <f>IF(A9&lt;('2. Inputs and results'!$C$21+1),Q8+P9," ")</f>
        <v>93259.466340956627</v>
      </c>
      <c r="R9" s="4">
        <f>IF(A9&lt;('2. Inputs and results'!$C$21+1),R8+G9+I9+H9+J9+T9-$V$6,NA())</f>
        <v>-134352.29499999998</v>
      </c>
      <c r="S9" s="4">
        <f>IF(A9&lt;('2. Inputs and results'!$C$21+1),'2. Inputs and results'!$C$79*(R8)," ")</f>
        <v>-3112.4191999999998</v>
      </c>
      <c r="T9" s="4">
        <f t="shared" si="1"/>
        <v>-3112.4191999999998</v>
      </c>
      <c r="U9" s="4">
        <f>IF(A9&lt;('2. Inputs and results'!$C$21+1),U8+((G9+I9+H9+J9-$V$6+T9)/((1+$P$2)^A9)),NA())</f>
        <v>-141785.63859890893</v>
      </c>
      <c r="V9" s="4">
        <f>IF(A9&lt;('2. Inputs and results'!$C$21+1),V8+('2. Inputs and results'!$C$75*'2. Inputs and results'!$C$73)," ")</f>
        <v>10000</v>
      </c>
      <c r="W9" s="4">
        <f>IF(A9&lt;('2. Inputs and results'!$C$21+1),W8+C9+Y9-$V$6,NA())</f>
        <v>-138929.29719999997</v>
      </c>
      <c r="X9" s="4">
        <f>IF(A9&lt;('2. Inputs and results'!$C$21+1),'2. Inputs and results'!$C$79*(W8)," ")</f>
        <v>-3157.4371999999998</v>
      </c>
      <c r="Y9" s="4">
        <f t="shared" si="2"/>
        <v>-3157.4371999999998</v>
      </c>
      <c r="Z9" s="4">
        <f>IF(A9&lt;('2. Inputs and results'!$C$21+1),Z8+((C9-$V$6+Y9)/((1+$P$2)^A9)),NA())</f>
        <v>-145801.28558447273</v>
      </c>
      <c r="AA9" s="4">
        <f>IF(A9&lt;('2. Inputs and results'!$C$21+1),AA8+G9+I9+H9+T9-$V$6," ")</f>
        <v>78147.705000000002</v>
      </c>
      <c r="AB9" s="20">
        <f>IF(A9&lt;('2. Inputs and results'!$C$21+1),AA9/L9,NA())</f>
        <v>0.36775390588235296</v>
      </c>
      <c r="AC9" s="29">
        <f>IF(A9&lt;('2. Inputs and results'!$C$21+1),AC8+C9+Y9-$V$6," ")</f>
        <v>73570.702799999999</v>
      </c>
      <c r="AD9" s="20">
        <f>IF(A9&lt;('2. Inputs and results'!$C$21+1),AC9/L9,NA())</f>
        <v>0.34621507200000001</v>
      </c>
      <c r="AE9">
        <f>IF(A9&lt;('2. Inputs and results'!$C$21+1),-'2. Inputs and results'!$C$121*A9," ")</f>
        <v>-184000</v>
      </c>
      <c r="AF9">
        <f>IF(A9&lt;('2. Inputs and results'!$C$21+1),AE9/1000,NA())</f>
        <v>-184</v>
      </c>
    </row>
    <row r="10" spans="1:32" x14ac:dyDescent="0.25">
      <c r="A10">
        <f t="shared" si="0"/>
        <v>5</v>
      </c>
      <c r="B10">
        <f>IF(A10&lt;('2. Inputs and results'!$C$21+1),A10," ")</f>
        <v>5</v>
      </c>
      <c r="C10" s="4">
        <f>IF(A10&lt;('2. Inputs and results'!$C$21+1),'2. Inputs and results'!$C$99+'2. Inputs and results'!$C$101," ")</f>
        <v>24600</v>
      </c>
      <c r="D10" s="4">
        <f>IF(A10&lt;('2. Inputs and results'!$C$21+1),D9+C10,NA())</f>
        <v>123000</v>
      </c>
      <c r="E10" s="4">
        <f>IF(A10&lt;('2. Inputs and results'!$C$21+1),C10/((1+$P$2)^A10)," ")</f>
        <v>20219.406826280047</v>
      </c>
      <c r="F10" s="4">
        <f>IF(B10&lt;('2. Inputs and results'!$C$21+1),F9+E10," ")</f>
        <v>109514.82934299862</v>
      </c>
      <c r="G10" s="4">
        <f>IF(A10&lt;('2. Inputs and results'!$C$21+1),G9*(1+'2. Inputs and results'!$C$44)," ")</f>
        <v>50647.896450000007</v>
      </c>
      <c r="H10" s="4">
        <f>IF(A10&lt;('2. Inputs and results'!$C$21+1),H9*(1+'2. Inputs and results'!$C$56)," ")</f>
        <v>0</v>
      </c>
      <c r="I10" s="4">
        <f>IF(A10&lt;('2. Inputs and results'!$C$21+1),I9*(1+'2. Inputs and results'!$C$32)," ")</f>
        <v>-22960.379724000002</v>
      </c>
      <c r="J10" s="4">
        <f>IF(A10&lt;('2. Inputs and results'!$C$21+1),J9*(1+'2. Inputs and results'!$C$66)," ")</f>
        <v>0</v>
      </c>
      <c r="K10" s="4">
        <f>IF(A10&lt;('2. Inputs and results'!$C$21+1),K9+(G10+I10+H10+J10),NA())</f>
        <v>130604.740926</v>
      </c>
      <c r="L10" s="4">
        <f>IF(A10&lt;('2. Inputs and results'!$C$21+1),L9,NA())</f>
        <v>212500</v>
      </c>
      <c r="M10" s="4">
        <f>IF(A10&lt;('2. Inputs and results'!$C$21+1),'2. Inputs and results'!$C$75*'2. Inputs and results'!$C$73," ")</f>
        <v>2500</v>
      </c>
      <c r="N10" s="4">
        <f>IF(A10&lt;('2. Inputs and results'!$C$21+1),M10/((1+$P$2)^A10)," ")</f>
        <v>2054.817766898379</v>
      </c>
      <c r="O10" s="4">
        <f>IF(A10&lt;('2. Inputs and results'!$C$21+1),'2. Inputs and results'!$C$73*'2. Inputs and results'!$C$75+O9," ")</f>
        <v>222500</v>
      </c>
      <c r="P10" s="4">
        <f>IF(A10&lt;('2. Inputs and results'!$C$21+1),(G10+I10+H10+J10)/((1+$P$2)^A10)," ")</f>
        <v>22757.120515952338</v>
      </c>
      <c r="Q10" s="4">
        <f>IF(A10&lt;('2. Inputs and results'!$C$21+1),Q9+P10," ")</f>
        <v>116016.58685690897</v>
      </c>
      <c r="R10" s="4">
        <f>IF(A10&lt;('2. Inputs and results'!$C$21+1),R9+G10+I10+H10+J10+T10-$V$6,NA())</f>
        <v>-111851.82417399998</v>
      </c>
      <c r="S10" s="4">
        <f>IF(A10&lt;('2. Inputs and results'!$C$21+1),'2. Inputs and results'!$C$79*(R9)," ")</f>
        <v>-2687.0458999999996</v>
      </c>
      <c r="T10" s="4">
        <f t="shared" si="1"/>
        <v>-2687.0458999999996</v>
      </c>
      <c r="U10" s="4">
        <f>IF(A10&lt;('2. Inputs and results'!$C$21+1),U9+((G10+I10+H10+J10-$V$6+T10)/((1+$P$2)^A10)),NA())</f>
        <v>-123291.89171217155</v>
      </c>
      <c r="V10" s="4">
        <f>IF(A10&lt;('2. Inputs and results'!$C$21+1),V9+('2. Inputs and results'!$C$75*'2. Inputs and results'!$C$73)," ")</f>
        <v>12500</v>
      </c>
      <c r="W10" s="4">
        <f>IF(A10&lt;('2. Inputs and results'!$C$21+1),W9+C10+Y10-$V$6,NA())</f>
        <v>-119607.88314399998</v>
      </c>
      <c r="X10" s="4">
        <f>IF(A10&lt;('2. Inputs and results'!$C$21+1),'2. Inputs and results'!$C$79*(W9)," ")</f>
        <v>-2778.5859439999995</v>
      </c>
      <c r="Y10" s="4">
        <f t="shared" si="2"/>
        <v>-2778.5859439999995</v>
      </c>
      <c r="Z10" s="4">
        <f>IF(A10&lt;('2. Inputs and results'!$C$21+1),Z9+((C10-$V$6+Y10)/((1+$P$2)^A10)),NA())</f>
        <v>-129920.49163092519</v>
      </c>
      <c r="AA10" s="4">
        <f>IF(A10&lt;('2. Inputs and results'!$C$21+1),AA9+G10+I10+H10+T10-$V$6," ")</f>
        <v>100648.17582600002</v>
      </c>
      <c r="AB10" s="20">
        <f>IF(A10&lt;('2. Inputs and results'!$C$21+1),AA10/L10,NA())</f>
        <v>0.47363847447529422</v>
      </c>
      <c r="AC10" s="29">
        <f>IF(A10&lt;('2. Inputs and results'!$C$21+1),AC9+C10+Y10-$V$6," ")</f>
        <v>92892.116855999993</v>
      </c>
      <c r="AD10" s="20">
        <f>IF(A10&lt;('2. Inputs and results'!$C$21+1),AC10/L10,NA())</f>
        <v>0.43713937343999998</v>
      </c>
      <c r="AE10">
        <f>IF(A10&lt;('2. Inputs and results'!$C$21+1),-'2. Inputs and results'!$C$121*A10," ")</f>
        <v>-230000</v>
      </c>
      <c r="AF10">
        <f>IF(A10&lt;('2. Inputs and results'!$C$21+1),AE10/1000,NA())</f>
        <v>-230</v>
      </c>
    </row>
    <row r="11" spans="1:32" x14ac:dyDescent="0.25">
      <c r="A11">
        <f t="shared" si="0"/>
        <v>6</v>
      </c>
      <c r="B11">
        <f>IF(A11&lt;('2. Inputs and results'!$C$21+1),A11," ")</f>
        <v>6</v>
      </c>
      <c r="C11" s="4">
        <f>IF(A11&lt;('2. Inputs and results'!$C$21+1),'2. Inputs and results'!$C$99+'2. Inputs and results'!$C$101," ")</f>
        <v>24600</v>
      </c>
      <c r="D11" s="4">
        <f>IF(A11&lt;('2. Inputs and results'!$C$21+1),D10+C11,NA())</f>
        <v>147600</v>
      </c>
      <c r="E11" s="4">
        <f>IF(A11&lt;('2. Inputs and results'!$C$21+1),C11/((1+$P$2)^A11)," ")</f>
        <v>19441.737332961584</v>
      </c>
      <c r="F11" s="4">
        <f>IF(B11&lt;('2. Inputs and results'!$C$21+1),F10+E11," ")</f>
        <v>128956.5666759602</v>
      </c>
      <c r="G11" s="4">
        <f>IF(A11&lt;('2. Inputs and results'!$C$21+1),G10*(1+'2. Inputs and results'!$C$44)," ")</f>
        <v>52167.33334350001</v>
      </c>
      <c r="H11" s="4">
        <f>IF(A11&lt;('2. Inputs and results'!$C$21+1),H10*(1+'2. Inputs and results'!$C$56)," ")</f>
        <v>0</v>
      </c>
      <c r="I11" s="4">
        <f>IF(A11&lt;('2. Inputs and results'!$C$21+1),I10*(1+'2. Inputs and results'!$C$32)," ")</f>
        <v>-23649.191115720001</v>
      </c>
      <c r="J11" s="4">
        <f>IF(A11&lt;('2. Inputs and results'!$C$21+1),J10*(1+'2. Inputs and results'!$C$66)," ")</f>
        <v>0</v>
      </c>
      <c r="K11" s="4">
        <f>IF(A11&lt;('2. Inputs and results'!$C$21+1),K10+(G11+I11+H11+J11),NA())</f>
        <v>159122.88315378001</v>
      </c>
      <c r="L11" s="4">
        <f>IF(A11&lt;('2. Inputs and results'!$C$21+1),L10,NA())</f>
        <v>212500</v>
      </c>
      <c r="M11" s="4">
        <f>IF(A11&lt;('2. Inputs and results'!$C$21+1),'2. Inputs and results'!$C$75*'2. Inputs and results'!$C$73," ")</f>
        <v>2500</v>
      </c>
      <c r="N11" s="4">
        <f>IF(A11&lt;('2. Inputs and results'!$C$21+1),M11/((1+$P$2)^A11)," ")</f>
        <v>1975.7863143253642</v>
      </c>
      <c r="O11" s="4">
        <f>IF(A11&lt;('2. Inputs and results'!$C$21+1),'2. Inputs and results'!$C$73*'2. Inputs and results'!$C$75+O10," ")</f>
        <v>225000</v>
      </c>
      <c r="P11" s="4">
        <f>IF(A11&lt;('2. Inputs and results'!$C$21+1),(G11+I11+H11+J11)/((1+$P$2)^A11)," ")</f>
        <v>22538.302049452799</v>
      </c>
      <c r="Q11" s="4">
        <f>IF(A11&lt;('2. Inputs and results'!$C$21+1),Q10+P11," ")</f>
        <v>138554.88890636177</v>
      </c>
      <c r="R11" s="4">
        <f>IF(A11&lt;('2. Inputs and results'!$C$21+1),R10+G11+I11+H11+J11+T11-$V$6,NA())</f>
        <v>-88070.718429699962</v>
      </c>
      <c r="S11" s="4">
        <f>IF(A11&lt;('2. Inputs and results'!$C$21+1),'2. Inputs and results'!$C$79*(R10)," ")</f>
        <v>-2237.0364834799998</v>
      </c>
      <c r="T11" s="4">
        <f t="shared" si="1"/>
        <v>-2237.0364834799998</v>
      </c>
      <c r="U11" s="4">
        <f>IF(A11&lt;('2. Inputs and results'!$C$21+1),U10+((G11+I11+H11+J11-$V$6+T11)/((1+$P$2)^A11)),NA())</f>
        <v>-104497.33840452664</v>
      </c>
      <c r="V11" s="4">
        <f>IF(A11&lt;('2. Inputs and results'!$C$21+1),V10+('2. Inputs and results'!$C$75*'2. Inputs and results'!$C$73)," ")</f>
        <v>15000</v>
      </c>
      <c r="W11" s="4">
        <f>IF(A11&lt;('2. Inputs and results'!$C$21+1),W10+C11+Y11-$V$6,NA())</f>
        <v>-99900.040806879973</v>
      </c>
      <c r="X11" s="4">
        <f>IF(A11&lt;('2. Inputs and results'!$C$21+1),'2. Inputs and results'!$C$79*(W10)," ")</f>
        <v>-2392.1576628799994</v>
      </c>
      <c r="Y11" s="4">
        <f t="shared" si="2"/>
        <v>-2392.1576628799994</v>
      </c>
      <c r="Z11" s="4">
        <f>IF(A11&lt;('2. Inputs and results'!$C$21+1),Z10+((C11-$V$6+Y11)/((1+$P$2)^A11)),NA())</f>
        <v>-114345.09756109971</v>
      </c>
      <c r="AA11" s="4">
        <f>IF(A11&lt;('2. Inputs and results'!$C$21+1),AA10+G11+I11+H11+T11-$V$6," ")</f>
        <v>124429.28157030004</v>
      </c>
      <c r="AB11" s="20">
        <f>IF(A11&lt;('2. Inputs and results'!$C$21+1),AA11/L11,NA())</f>
        <v>0.58554956033082373</v>
      </c>
      <c r="AC11" s="29">
        <f>IF(A11&lt;('2. Inputs and results'!$C$21+1),AC10+C11+Y11-$V$6," ")</f>
        <v>112599.95919312</v>
      </c>
      <c r="AD11" s="20">
        <f>IF(A11&lt;('2. Inputs and results'!$C$21+1),AC11/L11,NA())</f>
        <v>0.52988216090880003</v>
      </c>
      <c r="AE11">
        <f>IF(A11&lt;('2. Inputs and results'!$C$21+1),-'2. Inputs and results'!$C$121*A11," ")</f>
        <v>-276000</v>
      </c>
      <c r="AF11">
        <f>IF(A11&lt;('2. Inputs and results'!$C$21+1),AE11/1000,NA())</f>
        <v>-276</v>
      </c>
    </row>
    <row r="12" spans="1:32" x14ac:dyDescent="0.25">
      <c r="A12">
        <f t="shared" si="0"/>
        <v>7</v>
      </c>
      <c r="B12">
        <f>IF(A12&lt;('2. Inputs and results'!$C$21+1),A12," ")</f>
        <v>7</v>
      </c>
      <c r="C12" s="4">
        <f>IF(A12&lt;('2. Inputs and results'!$C$21+1),'2. Inputs and results'!$C$99+'2. Inputs and results'!$C$101," ")</f>
        <v>24600</v>
      </c>
      <c r="D12" s="4">
        <f>IF(A12&lt;('2. Inputs and results'!$C$21+1),D11+C12,NA())</f>
        <v>172200</v>
      </c>
      <c r="E12" s="4">
        <f>IF(A12&lt;('2. Inputs and results'!$C$21+1),C12/((1+$P$2)^A12)," ")</f>
        <v>18693.978204770756</v>
      </c>
      <c r="F12" s="4">
        <f>IF(B12&lt;('2. Inputs and results'!$C$21+1),F11+E12," ")</f>
        <v>147650.54488073097</v>
      </c>
      <c r="G12" s="4">
        <f>IF(A12&lt;('2. Inputs and results'!$C$21+1),G11*(1+'2. Inputs and results'!$C$44)," ")</f>
        <v>53732.353343805014</v>
      </c>
      <c r="H12" s="4">
        <f>IF(A12&lt;('2. Inputs and results'!$C$21+1),H11*(1+'2. Inputs and results'!$C$56)," ")</f>
        <v>0</v>
      </c>
      <c r="I12" s="4">
        <f>IF(A12&lt;('2. Inputs and results'!$C$21+1),I11*(1+'2. Inputs and results'!$C$32)," ")</f>
        <v>-24358.666849191603</v>
      </c>
      <c r="J12" s="4">
        <f>IF(A12&lt;('2. Inputs and results'!$C$21+1),J11*(1+'2. Inputs and results'!$C$66)," ")</f>
        <v>0</v>
      </c>
      <c r="K12" s="4">
        <f>IF(A12&lt;('2. Inputs and results'!$C$21+1),K11+(G12+I12+H12+J12),NA())</f>
        <v>188496.56964839343</v>
      </c>
      <c r="L12" s="4">
        <f>IF(A12&lt;('2. Inputs and results'!$C$21+1),L11,NA())</f>
        <v>212500</v>
      </c>
      <c r="M12" s="4">
        <f>IF(A12&lt;('2. Inputs and results'!$C$21+1),'2. Inputs and results'!$C$75*'2. Inputs and results'!$C$73," ")</f>
        <v>2500</v>
      </c>
      <c r="N12" s="4">
        <f>IF(A12&lt;('2. Inputs and results'!$C$21+1),M12/((1+$P$2)^A12)," ")</f>
        <v>1899.7945330051582</v>
      </c>
      <c r="O12" s="4">
        <f>IF(A12&lt;('2. Inputs and results'!$C$21+1),'2. Inputs and results'!$C$73*'2. Inputs and results'!$C$75+O11," ")</f>
        <v>227500</v>
      </c>
      <c r="P12" s="4">
        <f>IF(A12&lt;('2. Inputs and results'!$C$21+1),(G12+I12+H12+J12)/((1+$P$2)^A12)," ")</f>
        <v>22321.587606669604</v>
      </c>
      <c r="Q12" s="4">
        <f>IF(A12&lt;('2. Inputs and results'!$C$21+1),Q11+P12," ")</f>
        <v>160876.47651303138</v>
      </c>
      <c r="R12" s="4">
        <f>IF(A12&lt;('2. Inputs and results'!$C$21+1),R11+G12+I12+H12+J12+T12-$V$6,NA())</f>
        <v>-62958.446303680546</v>
      </c>
      <c r="S12" s="4">
        <f>IF(A12&lt;('2. Inputs and results'!$C$21+1),'2. Inputs and results'!$C$79*(R11)," ")</f>
        <v>-1761.4143685939994</v>
      </c>
      <c r="T12" s="4">
        <f t="shared" si="1"/>
        <v>-1761.4143685939994</v>
      </c>
      <c r="U12" s="4">
        <f>IF(A12&lt;('2. Inputs and results'!$C$21+1),U11+((G12+I12+H12+J12-$V$6+T12)/((1+$P$2)^A12)),NA())</f>
        <v>-85414.075485986847</v>
      </c>
      <c r="V12" s="4">
        <f>IF(A12&lt;('2. Inputs and results'!$C$21+1),V11+('2. Inputs and results'!$C$75*'2. Inputs and results'!$C$73)," ")</f>
        <v>17500</v>
      </c>
      <c r="W12" s="4">
        <f>IF(A12&lt;('2. Inputs and results'!$C$21+1),W11+C12+Y12-$V$6,NA())</f>
        <v>-79798.041623017576</v>
      </c>
      <c r="X12" s="4">
        <f>IF(A12&lt;('2. Inputs and results'!$C$21+1),'2. Inputs and results'!$C$79*(W11)," ")</f>
        <v>-1998.0008161375995</v>
      </c>
      <c r="Y12" s="4">
        <f t="shared" si="2"/>
        <v>-1998.0008161375995</v>
      </c>
      <c r="Z12" s="4">
        <f>IF(A12&lt;('2. Inputs and results'!$C$21+1),Z11+((C12-$V$6+Y12)/((1+$P$2)^A12)),NA())</f>
        <v>-99069.23030030934</v>
      </c>
      <c r="AA12" s="4">
        <f>IF(A12&lt;('2. Inputs and results'!$C$21+1),AA11+G12+I12+H12+T12-$V$6," ")</f>
        <v>149541.55369631946</v>
      </c>
      <c r="AB12" s="20">
        <f>IF(A12&lt;('2. Inputs and results'!$C$21+1),AA12/L12,NA())</f>
        <v>0.7037249585709151</v>
      </c>
      <c r="AC12" s="29">
        <f>IF(A12&lt;('2. Inputs and results'!$C$21+1),AC11+C12+Y12-$V$6," ")</f>
        <v>132701.95837698242</v>
      </c>
      <c r="AD12" s="20">
        <f>IF(A12&lt;('2. Inputs and results'!$C$21+1),AC12/L12,NA())</f>
        <v>0.62447980412697612</v>
      </c>
      <c r="AE12">
        <f>IF(A12&lt;('2. Inputs and results'!$C$21+1),-'2. Inputs and results'!$C$121*A12," ")</f>
        <v>-322000</v>
      </c>
      <c r="AF12">
        <f>IF(A12&lt;('2. Inputs and results'!$C$21+1),AE12/1000,NA())</f>
        <v>-322</v>
      </c>
    </row>
    <row r="13" spans="1:32" x14ac:dyDescent="0.25">
      <c r="A13">
        <f t="shared" si="0"/>
        <v>8</v>
      </c>
      <c r="B13">
        <f>IF(A13&lt;('2. Inputs and results'!$C$21+1),A13," ")</f>
        <v>8</v>
      </c>
      <c r="C13" s="4">
        <f>IF(A13&lt;('2. Inputs and results'!$C$21+1),'2. Inputs and results'!$C$99+'2. Inputs and results'!$C$101," ")</f>
        <v>24600</v>
      </c>
      <c r="D13" s="4">
        <f>IF(A13&lt;('2. Inputs and results'!$C$21+1),D12+C13,NA())</f>
        <v>196800</v>
      </c>
      <c r="E13" s="4">
        <f>IF(A13&lt;('2. Inputs and results'!$C$21+1),C13/((1+$P$2)^A13)," ")</f>
        <v>17974.979043048799</v>
      </c>
      <c r="F13" s="4">
        <f>IF(B13&lt;('2. Inputs and results'!$C$21+1),F12+E13," ")</f>
        <v>165625.52392377978</v>
      </c>
      <c r="G13" s="4">
        <f>IF(A13&lt;('2. Inputs and results'!$C$21+1),G12*(1+'2. Inputs and results'!$C$44)," ")</f>
        <v>55344.323944119169</v>
      </c>
      <c r="H13" s="4">
        <f>IF(A13&lt;('2. Inputs and results'!$C$21+1),H12*(1+'2. Inputs and results'!$C$56)," ")</f>
        <v>0</v>
      </c>
      <c r="I13" s="4">
        <f>IF(A13&lt;('2. Inputs and results'!$C$21+1),I12*(1+'2. Inputs and results'!$C$32)," ")</f>
        <v>-25089.426854667352</v>
      </c>
      <c r="J13" s="4">
        <f>IF(A13&lt;('2. Inputs and results'!$C$21+1),J12*(1+'2. Inputs and results'!$C$66)," ")</f>
        <v>0</v>
      </c>
      <c r="K13" s="4">
        <f>IF(A13&lt;('2. Inputs and results'!$C$21+1),K12+(G13+I13+H13+J13),NA())</f>
        <v>218751.46673784524</v>
      </c>
      <c r="L13" s="4">
        <f>IF(A13&lt;('2. Inputs and results'!$C$21+1),L12,NA())</f>
        <v>212500</v>
      </c>
      <c r="M13" s="4">
        <f>IF(A13&lt;('2. Inputs and results'!$C$21+1),'2. Inputs and results'!$C$75*'2. Inputs and results'!$C$73," ")</f>
        <v>2500</v>
      </c>
      <c r="N13" s="4">
        <f>IF(A13&lt;('2. Inputs and results'!$C$21+1),M13/((1+$P$2)^A13)," ")</f>
        <v>1826.7255125049594</v>
      </c>
      <c r="O13" s="4">
        <f>IF(A13&lt;('2. Inputs and results'!$C$21+1),'2. Inputs and results'!$C$73*'2. Inputs and results'!$C$75+O12," ")</f>
        <v>230000</v>
      </c>
      <c r="P13" s="4">
        <f>IF(A13&lt;('2. Inputs and results'!$C$21+1),(G13+I13+H13+J13)/((1+$P$2)^A13)," ")</f>
        <v>22106.956956605471</v>
      </c>
      <c r="Q13" s="4">
        <f>IF(A13&lt;('2. Inputs and results'!$C$21+1),Q12+P13," ")</f>
        <v>182983.43346963683</v>
      </c>
      <c r="R13" s="4">
        <f>IF(A13&lt;('2. Inputs and results'!$C$21+1),R12+G13+I13+H13+J13+T13-$V$6,NA())</f>
        <v>-36462.718140302342</v>
      </c>
      <c r="S13" s="4">
        <f>IF(A13&lt;('2. Inputs and results'!$C$21+1),'2. Inputs and results'!$C$79*(R12)," ")</f>
        <v>-1259.1689260736109</v>
      </c>
      <c r="T13" s="4">
        <f t="shared" si="1"/>
        <v>-1259.1689260736109</v>
      </c>
      <c r="U13" s="4">
        <f>IF(A13&lt;('2. Inputs and results'!$C$21+1),U12+((G13+I13+H13+J13-$V$6+T13)/((1+$P$2)^A13)),NA())</f>
        <v>-66053.906442611187</v>
      </c>
      <c r="V13" s="4">
        <f>IF(A13&lt;('2. Inputs and results'!$C$21+1),V12+('2. Inputs and results'!$C$75*'2. Inputs and results'!$C$73)," ")</f>
        <v>20000</v>
      </c>
      <c r="W13" s="4">
        <f>IF(A13&lt;('2. Inputs and results'!$C$21+1),W12+C13+Y13-$V$6,NA())</f>
        <v>-59294.00245547793</v>
      </c>
      <c r="X13" s="4">
        <f>IF(A13&lt;('2. Inputs and results'!$C$21+1),'2. Inputs and results'!$C$79*(W12)," ")</f>
        <v>-1595.9608324603516</v>
      </c>
      <c r="Y13" s="4">
        <f t="shared" si="2"/>
        <v>-1595.9608324603516</v>
      </c>
      <c r="Z13" s="4">
        <f>IF(A13&lt;('2. Inputs and results'!$C$21+1),Z12+((C13-$V$6+Y13)/((1+$P$2)^A13)),NA())</f>
        <v>-84087.129717611097</v>
      </c>
      <c r="AA13" s="4">
        <f>IF(A13&lt;('2. Inputs and results'!$C$21+1),AA12+G13+I13+H13+T13-$V$6," ")</f>
        <v>176037.28185969766</v>
      </c>
      <c r="AB13" s="20">
        <f>IF(A13&lt;('2. Inputs and results'!$C$21+1),AA13/L13,NA())</f>
        <v>0.82841073816328314</v>
      </c>
      <c r="AC13" s="29">
        <f>IF(A13&lt;('2. Inputs and results'!$C$21+1),AC12+C13+Y13-$V$6," ")</f>
        <v>153205.99754452208</v>
      </c>
      <c r="AD13" s="20">
        <f>IF(A13&lt;('2. Inputs and results'!$C$21+1),AC13/L13,NA())</f>
        <v>0.72096940020951561</v>
      </c>
      <c r="AE13">
        <f>IF(A13&lt;('2. Inputs and results'!$C$21+1),-'2. Inputs and results'!$C$121*A13," ")</f>
        <v>-368000</v>
      </c>
      <c r="AF13">
        <f>IF(A13&lt;('2. Inputs and results'!$C$21+1),AE13/1000,NA())</f>
        <v>-368</v>
      </c>
    </row>
    <row r="14" spans="1:32" x14ac:dyDescent="0.25">
      <c r="A14">
        <f t="shared" si="0"/>
        <v>9</v>
      </c>
      <c r="B14">
        <f>IF(A14&lt;('2. Inputs and results'!$C$21+1),A14," ")</f>
        <v>9</v>
      </c>
      <c r="C14" s="4">
        <f>IF(A14&lt;('2. Inputs and results'!$C$21+1),'2. Inputs and results'!$C$99+'2. Inputs and results'!$C$101," ")</f>
        <v>24600</v>
      </c>
      <c r="D14" s="4">
        <f>IF(A14&lt;('2. Inputs and results'!$C$21+1),D13+C14,NA())</f>
        <v>221400</v>
      </c>
      <c r="E14" s="4">
        <f>IF(A14&lt;('2. Inputs and results'!$C$21+1),C14/((1+$P$2)^A14)," ")</f>
        <v>17283.63369523923</v>
      </c>
      <c r="F14" s="4">
        <f>IF(B14&lt;('2. Inputs and results'!$C$21+1),F13+E14," ")</f>
        <v>182909.15761901901</v>
      </c>
      <c r="G14" s="4">
        <f>IF(A14&lt;('2. Inputs and results'!$C$21+1),G13*(1+'2. Inputs and results'!$C$44)," ")</f>
        <v>57004.653662442746</v>
      </c>
      <c r="H14" s="4">
        <f>IF(A14&lt;('2. Inputs and results'!$C$21+1),H13*(1+'2. Inputs and results'!$C$56)," ")</f>
        <v>0</v>
      </c>
      <c r="I14" s="4">
        <f>IF(A14&lt;('2. Inputs and results'!$C$21+1),I13*(1+'2. Inputs and results'!$C$32)," ")</f>
        <v>-25842.109660307375</v>
      </c>
      <c r="J14" s="4">
        <f>IF(A14&lt;('2. Inputs and results'!$C$21+1),J13*(1+'2. Inputs and results'!$C$66)," ")</f>
        <v>0</v>
      </c>
      <c r="K14" s="4">
        <f>IF(A14&lt;('2. Inputs and results'!$C$21+1),K13+(G14+I14+H14+J14),NA())</f>
        <v>249914.01073998061</v>
      </c>
      <c r="L14" s="4">
        <f>IF(A14&lt;('2. Inputs and results'!$C$21+1),L13,NA())</f>
        <v>212500</v>
      </c>
      <c r="M14" s="4">
        <f>IF(A14&lt;('2. Inputs and results'!$C$21+1),'2. Inputs and results'!$C$75*'2. Inputs and results'!$C$73," ")</f>
        <v>2500</v>
      </c>
      <c r="N14" s="4">
        <f>IF(A14&lt;('2. Inputs and results'!$C$21+1),M14/((1+$P$2)^A14)," ")</f>
        <v>1756.4668389470762</v>
      </c>
      <c r="O14" s="4">
        <f>IF(A14&lt;('2. Inputs and results'!$C$21+1),'2. Inputs and results'!$C$73*'2. Inputs and results'!$C$75+O13," ")</f>
        <v>232500</v>
      </c>
      <c r="P14" s="4">
        <f>IF(A14&lt;('2. Inputs and results'!$C$21+1),(G14+I14+H14+J14)/((1+$P$2)^A14)," ")</f>
        <v>21894.390062791954</v>
      </c>
      <c r="Q14" s="4">
        <f>IF(A14&lt;('2. Inputs and results'!$C$21+1),Q13+P14," ")</f>
        <v>204877.8235324288</v>
      </c>
      <c r="R14" s="4">
        <f>IF(A14&lt;('2. Inputs and results'!$C$21+1),R13+G14+I14+H14+J14+T14-$V$6,NA())</f>
        <v>-8529.4285009730174</v>
      </c>
      <c r="S14" s="4">
        <f>IF(A14&lt;('2. Inputs and results'!$C$21+1),'2. Inputs and results'!$C$79*(R13)," ")</f>
        <v>-729.25436280604686</v>
      </c>
      <c r="T14" s="4">
        <f t="shared" si="1"/>
        <v>-729.25436280604686</v>
      </c>
      <c r="U14" s="4">
        <f>IF(A14&lt;('2. Inputs and results'!$C$21+1),U13+((G14+I14+H14+J14-$V$6+T14)/((1+$P$2)^A14)),NA())</f>
        <v>-46428.34766093683</v>
      </c>
      <c r="V14" s="4">
        <f>IF(A14&lt;('2. Inputs and results'!$C$21+1),V13+('2. Inputs and results'!$C$75*'2. Inputs and results'!$C$73)," ")</f>
        <v>22500</v>
      </c>
      <c r="W14" s="4">
        <f>IF(A14&lt;('2. Inputs and results'!$C$21+1),W13+C14+Y14-$V$6,NA())</f>
        <v>-38379.882504587491</v>
      </c>
      <c r="X14" s="4">
        <f>IF(A14&lt;('2. Inputs and results'!$C$21+1),'2. Inputs and results'!$C$79*(W13)," ")</f>
        <v>-1185.8800491095587</v>
      </c>
      <c r="Y14" s="4">
        <f t="shared" si="2"/>
        <v>-1185.8800491095587</v>
      </c>
      <c r="Z14" s="4">
        <f>IF(A14&lt;('2. Inputs and results'!$C$21+1),Z13+((C14-$V$6+Y14)/((1+$P$2)^A14)),NA())</f>
        <v>-69393.146453810885</v>
      </c>
      <c r="AA14" s="4">
        <f>IF(A14&lt;('2. Inputs and results'!$C$21+1),AA13+G14+I14+H14+T14-$V$6," ")</f>
        <v>203970.57149902699</v>
      </c>
      <c r="AB14" s="20">
        <f>IF(A14&lt;('2. Inputs and results'!$C$21+1),AA14/L14,NA())</f>
        <v>0.95986151293659761</v>
      </c>
      <c r="AC14" s="29">
        <f>IF(A14&lt;('2. Inputs and results'!$C$21+1),AC13+C14+Y14-$V$6," ")</f>
        <v>174120.11749541253</v>
      </c>
      <c r="AD14" s="20">
        <f>IF(A14&lt;('2. Inputs and results'!$C$21+1),AC14/L14,NA())</f>
        <v>0.81938878821370598</v>
      </c>
      <c r="AE14">
        <f>IF(A14&lt;('2. Inputs and results'!$C$21+1),-'2. Inputs and results'!$C$121*A14," ")</f>
        <v>-414000</v>
      </c>
      <c r="AF14">
        <f>IF(A14&lt;('2. Inputs and results'!$C$21+1),AE14/1000,NA())</f>
        <v>-414</v>
      </c>
    </row>
    <row r="15" spans="1:32" x14ac:dyDescent="0.25">
      <c r="A15">
        <f t="shared" si="0"/>
        <v>10</v>
      </c>
      <c r="B15">
        <f>IF(A15&lt;('2. Inputs and results'!$C$21+1),A15," ")</f>
        <v>10</v>
      </c>
      <c r="C15" s="4">
        <f>IF(A15&lt;('2. Inputs and results'!$C$21+1),'2. Inputs and results'!$C$99+'2. Inputs and results'!$C$101," ")</f>
        <v>24600</v>
      </c>
      <c r="D15" s="4">
        <f>IF(A15&lt;('2. Inputs and results'!$C$21+1),D14+C15,NA())</f>
        <v>246000</v>
      </c>
      <c r="E15" s="4">
        <f>IF(A15&lt;('2. Inputs and results'!$C$21+1),C15/((1+$P$2)^A15)," ")</f>
        <v>16618.878553114646</v>
      </c>
      <c r="F15" s="4">
        <f>IF(B15&lt;('2. Inputs and results'!$C$21+1),F14+E15," ")</f>
        <v>199528.03617213367</v>
      </c>
      <c r="G15" s="4">
        <f>IF(A15&lt;('2. Inputs and results'!$C$21+1),G14*(1+'2. Inputs and results'!$C$44)," ")</f>
        <v>58714.793272316027</v>
      </c>
      <c r="H15" s="4">
        <f>IF(A15&lt;('2. Inputs and results'!$C$21+1),H14*(1+'2. Inputs and results'!$C$56)," ")</f>
        <v>0</v>
      </c>
      <c r="I15" s="4">
        <f>IF(A15&lt;('2. Inputs and results'!$C$21+1),I14*(1+'2. Inputs and results'!$C$32)," ")</f>
        <v>-26617.372950116598</v>
      </c>
      <c r="J15" s="4">
        <f>IF(A15&lt;('2. Inputs and results'!$C$21+1),J14*(1+'2. Inputs and results'!$C$66)," ")</f>
        <v>0</v>
      </c>
      <c r="K15" s="4">
        <f>IF(A15&lt;('2. Inputs and results'!$C$21+1),K14+(G15+I15+H15+J15),NA())</f>
        <v>282011.43106218003</v>
      </c>
      <c r="L15" s="4">
        <f>IF(A15&lt;('2. Inputs and results'!$C$21+1),L14,NA())</f>
        <v>212500</v>
      </c>
      <c r="M15" s="4">
        <f>IF(A15&lt;('2. Inputs and results'!$C$21+1),'2. Inputs and results'!$C$75*'2. Inputs and results'!$C$73," ")</f>
        <v>2500</v>
      </c>
      <c r="N15" s="4">
        <f>IF(A15&lt;('2. Inputs and results'!$C$21+1),M15/((1+$P$2)^A15)," ")</f>
        <v>1688.9104220644963</v>
      </c>
      <c r="O15" s="4">
        <f>IF(A15&lt;('2. Inputs and results'!$C$21+1),'2. Inputs and results'!$C$73*'2. Inputs and results'!$C$75+O14," ")</f>
        <v>235000</v>
      </c>
      <c r="P15" s="4">
        <f>IF(A15&lt;('2. Inputs and results'!$C$21+1),(G15+I15+H15+J15)/((1+$P$2)^A15)," ")</f>
        <v>21683.867081418954</v>
      </c>
      <c r="Q15" s="4">
        <f>IF(A15&lt;('2. Inputs and results'!$C$21+1),Q14+P15," ")</f>
        <v>226561.69061384775</v>
      </c>
      <c r="R15" s="4">
        <f>IF(A15&lt;('2. Inputs and results'!$C$21+1),R14+G15+I15+H15+J15+T15-$V$6,NA())</f>
        <v>20897.403251206953</v>
      </c>
      <c r="S15" s="4">
        <f>IF(A15&lt;('2. Inputs and results'!$C$21+1),'2. Inputs and results'!$C$79*(R14)," ")</f>
        <v>-170.58857001946035</v>
      </c>
      <c r="T15" s="4">
        <f t="shared" si="1"/>
        <v>-170.58857001946035</v>
      </c>
      <c r="U15" s="4">
        <f>IF(A15&lt;('2. Inputs and results'!$C$21+1),U14+((G15+I15+H15+J15-$V$6+T15)/((1+$P$2)^A15)),NA())</f>
        <v>-26548.634527098751</v>
      </c>
      <c r="V15" s="4">
        <f>IF(A15&lt;('2. Inputs and results'!$C$21+1),V14+('2. Inputs and results'!$C$75*'2. Inputs and results'!$C$73)," ")</f>
        <v>25000</v>
      </c>
      <c r="W15" s="4">
        <f>IF(A15&lt;('2. Inputs and results'!$C$21+1),W14+C15+Y15-$V$6,NA())</f>
        <v>-17047.480154679241</v>
      </c>
      <c r="X15" s="4">
        <f>IF(A15&lt;('2. Inputs and results'!$C$21+1),'2. Inputs and results'!$C$79*(W14)," ")</f>
        <v>-767.59765009174987</v>
      </c>
      <c r="Y15" s="4">
        <f t="shared" si="2"/>
        <v>-767.59765009174987</v>
      </c>
      <c r="Z15" s="4">
        <f>IF(A15&lt;('2. Inputs and results'!$C$21+1),Z14+((C15-$V$6+Y15)/((1+$P$2)^A15)),NA())</f>
        <v>-54981.739791237604</v>
      </c>
      <c r="AA15" s="4">
        <f>IF(A15&lt;('2. Inputs and results'!$C$21+1),AA14+G15+I15+H15+T15-$V$6," ")</f>
        <v>233397.40325120694</v>
      </c>
      <c r="AB15" s="20">
        <f>IF(A15&lt;('2. Inputs and results'!$C$21+1),AA15/L15,NA())</f>
        <v>1.0983407211821503</v>
      </c>
      <c r="AC15" s="29">
        <f>IF(A15&lt;('2. Inputs and results'!$C$21+1),AC14+C15+Y15-$V$6," ")</f>
        <v>195452.51984532078</v>
      </c>
      <c r="AD15" s="20">
        <f>IF(A15&lt;('2. Inputs and results'!$C$21+1),AC15/L15,NA())</f>
        <v>0.91977656397798013</v>
      </c>
      <c r="AE15">
        <f>IF(A15&lt;('2. Inputs and results'!$C$21+1),-'2. Inputs and results'!$C$121*A15," ")</f>
        <v>-460000</v>
      </c>
      <c r="AF15">
        <f>IF(A15&lt;('2. Inputs and results'!$C$21+1),AE15/1000,NA())</f>
        <v>-460</v>
      </c>
    </row>
    <row r="16" spans="1:32" x14ac:dyDescent="0.25">
      <c r="A16">
        <f t="shared" si="0"/>
        <v>11</v>
      </c>
      <c r="B16">
        <f>IF(A16&lt;('2. Inputs and results'!$C$21+1),A16," ")</f>
        <v>11</v>
      </c>
      <c r="C16" s="4">
        <f>IF(A16&lt;('2. Inputs and results'!$C$21+1),'2. Inputs and results'!$C$99+'2. Inputs and results'!$C$101," ")</f>
        <v>24600</v>
      </c>
      <c r="D16" s="4">
        <f>IF(A16&lt;('2. Inputs and results'!$C$21+1),D15+C16,NA())</f>
        <v>270600</v>
      </c>
      <c r="E16" s="4">
        <f>IF(A16&lt;('2. Inputs and results'!$C$21+1),C16/((1+$P$2)^A16)," ")</f>
        <v>15979.690916456389</v>
      </c>
      <c r="F16" s="4">
        <f>IF(B16&lt;('2. Inputs and results'!$C$21+1),F15+E16," ")</f>
        <v>215507.72708859007</v>
      </c>
      <c r="G16" s="4">
        <f>IF(A16&lt;('2. Inputs and results'!$C$21+1),G15*(1+'2. Inputs and results'!$C$44)," ")</f>
        <v>60476.237070485506</v>
      </c>
      <c r="H16" s="4">
        <f>IF(A16&lt;('2. Inputs and results'!$C$21+1),H15*(1+'2. Inputs and results'!$C$56)," ")</f>
        <v>0</v>
      </c>
      <c r="I16" s="4">
        <f>IF(A16&lt;('2. Inputs and results'!$C$21+1),I15*(1+'2. Inputs and results'!$C$32)," ")</f>
        <v>-27415.894138620097</v>
      </c>
      <c r="J16" s="4">
        <f>IF(A16&lt;('2. Inputs and results'!$C$21+1),J15*(1+'2. Inputs and results'!$C$66)," ")</f>
        <v>0</v>
      </c>
      <c r="K16" s="4">
        <f>IF(A16&lt;('2. Inputs and results'!$C$21+1),K15+(G16+I16+H16+J16),NA())</f>
        <v>315071.77399404545</v>
      </c>
      <c r="L16" s="4">
        <f>IF(A16&lt;('2. Inputs and results'!$C$21+1),L15,NA())</f>
        <v>212500</v>
      </c>
      <c r="M16" s="4">
        <f>IF(A16&lt;('2. Inputs and results'!$C$21+1),'2. Inputs and results'!$C$75*'2. Inputs and results'!$C$73," ")</f>
        <v>2500</v>
      </c>
      <c r="N16" s="4">
        <f>IF(A16&lt;('2. Inputs and results'!$C$21+1),M16/((1+$P$2)^A16)," ")</f>
        <v>1623.9523289081696</v>
      </c>
      <c r="O16" s="4">
        <f>IF(A16&lt;('2. Inputs and results'!$C$21+1),'2. Inputs and results'!$C$73*'2. Inputs and results'!$C$75+O15," ")</f>
        <v>237500</v>
      </c>
      <c r="P16" s="4">
        <f>IF(A16&lt;('2. Inputs and results'!$C$21+1),(G16+I16+H16+J16)/((1+$P$2)^A16)," ")</f>
        <v>21475.368359482232</v>
      </c>
      <c r="Q16" s="4">
        <f>IF(A16&lt;('2. Inputs and results'!$C$21+1),Q15+P16," ")</f>
        <v>248037.05897332999</v>
      </c>
      <c r="R16" s="4">
        <f>IF(A16&lt;('2. Inputs and results'!$C$21+1),R15+G16+I16+H16+J16+T16-$V$6,NA())</f>
        <v>51457.746183072355</v>
      </c>
      <c r="S16" s="4">
        <f>IF(A16&lt;('2. Inputs and results'!$C$21+1),'2. Inputs and results'!$C$79*(R15)," ")</f>
        <v>417.94806502413905</v>
      </c>
      <c r="T16" s="4">
        <f t="shared" si="1"/>
        <v>0</v>
      </c>
      <c r="U16" s="4">
        <f>IF(A16&lt;('2. Inputs and results'!$C$21+1),U15+((G16+I16+H16+J16-$V$6+T16)/((1+$P$2)^A16)),NA())</f>
        <v>-6697.2184965246888</v>
      </c>
      <c r="V16" s="4">
        <f>IF(A16&lt;('2. Inputs and results'!$C$21+1),V15+('2. Inputs and results'!$C$75*'2. Inputs and results'!$C$73)," ")</f>
        <v>27500</v>
      </c>
      <c r="W16" s="4">
        <f>IF(A16&lt;('2. Inputs and results'!$C$21+1),W15+C16+Y16-$V$6,NA())</f>
        <v>4711.5702422271743</v>
      </c>
      <c r="X16" s="4">
        <f>IF(A16&lt;('2. Inputs and results'!$C$21+1),'2. Inputs and results'!$C$79*(W15)," ")</f>
        <v>-340.94960309358481</v>
      </c>
      <c r="Y16" s="4">
        <f t="shared" si="2"/>
        <v>-340.94960309358481</v>
      </c>
      <c r="Z16" s="4">
        <f>IF(A16&lt;('2. Inputs and results'!$C$21+1),Z15+((C16-$V$6+Y16)/((1+$P$2)^A16)),NA())</f>
        <v>-40847.475564483044</v>
      </c>
      <c r="AA16" s="4">
        <f>IF(A16&lt;('2. Inputs and results'!$C$21+1),AA15+G16+I16+H16+T16-$V$6," ")</f>
        <v>263957.74618307233</v>
      </c>
      <c r="AB16" s="20">
        <f>IF(A16&lt;('2. Inputs and results'!$C$21+1),AA16/L16,NA())</f>
        <v>1.2421540996850462</v>
      </c>
      <c r="AC16" s="29">
        <f>IF(A16&lt;('2. Inputs and results'!$C$21+1),AC15+C16+Y16-$V$6," ")</f>
        <v>217211.5702422272</v>
      </c>
      <c r="AD16" s="20">
        <f>IF(A16&lt;('2. Inputs and results'!$C$21+1),AC16/L16,NA())</f>
        <v>1.0221720952575397</v>
      </c>
      <c r="AE16">
        <f>IF(A16&lt;('2. Inputs and results'!$C$21+1),-'2. Inputs and results'!$C$121*A16," ")</f>
        <v>-506000</v>
      </c>
      <c r="AF16">
        <f>IF(A16&lt;('2. Inputs and results'!$C$21+1),AE16/1000,NA())</f>
        <v>-506</v>
      </c>
    </row>
    <row r="17" spans="1:32" x14ac:dyDescent="0.25">
      <c r="A17">
        <f t="shared" si="0"/>
        <v>12</v>
      </c>
      <c r="B17">
        <f>IF(A17&lt;('2. Inputs and results'!$C$21+1),A17," ")</f>
        <v>12</v>
      </c>
      <c r="C17" s="4">
        <f>IF(A17&lt;('2. Inputs and results'!$C$21+1),'2. Inputs and results'!$C$99+'2. Inputs and results'!$C$101," ")</f>
        <v>24600</v>
      </c>
      <c r="D17" s="4">
        <f>IF(A17&lt;('2. Inputs and results'!$C$21+1),D16+C17,NA())</f>
        <v>295200</v>
      </c>
      <c r="E17" s="4">
        <f>IF(A17&lt;('2. Inputs and results'!$C$21+1),C17/((1+$P$2)^A17)," ")</f>
        <v>15365.087419669602</v>
      </c>
      <c r="F17" s="4">
        <f>IF(B17&lt;('2. Inputs and results'!$C$21+1),F16+E17," ")</f>
        <v>230872.81450825967</v>
      </c>
      <c r="G17" s="4">
        <f>IF(A17&lt;('2. Inputs and results'!$C$21+1),G16*(1+'2. Inputs and results'!$C$44)," ")</f>
        <v>62290.524182600071</v>
      </c>
      <c r="H17" s="4">
        <f>IF(A17&lt;('2. Inputs and results'!$C$21+1),H16*(1+'2. Inputs and results'!$C$56)," ")</f>
        <v>0</v>
      </c>
      <c r="I17" s="4">
        <f>IF(A17&lt;('2. Inputs and results'!$C$21+1),I16*(1+'2. Inputs and results'!$C$32)," ")</f>
        <v>-28238.370962778699</v>
      </c>
      <c r="J17" s="4">
        <f>IF(A17&lt;('2. Inputs and results'!$C$21+1),J16*(1+'2. Inputs and results'!$C$66)," ")</f>
        <v>0</v>
      </c>
      <c r="K17" s="4">
        <f>IF(A17&lt;('2. Inputs and results'!$C$21+1),K16+(G17+I17+H17+J17),NA())</f>
        <v>349123.92721386685</v>
      </c>
      <c r="L17" s="4">
        <f>IF(A17&lt;('2. Inputs and results'!$C$21+1),L16,NA())</f>
        <v>212500</v>
      </c>
      <c r="M17" s="4">
        <f>IF(A17&lt;('2. Inputs and results'!$C$21+1),'2. Inputs and results'!$C$75*'2. Inputs and results'!$C$73," ")</f>
        <v>2500</v>
      </c>
      <c r="N17" s="4">
        <f>IF(A17&lt;('2. Inputs and results'!$C$21+1),M17/((1+$P$2)^A17)," ")</f>
        <v>1561.4926239501629</v>
      </c>
      <c r="O17" s="4">
        <f>IF(A17&lt;('2. Inputs and results'!$C$21+1),'2. Inputs and results'!$C$73*'2. Inputs and results'!$C$75+O16," ")</f>
        <v>240000</v>
      </c>
      <c r="P17" s="4">
        <f>IF(A17&lt;('2. Inputs and results'!$C$21+1),(G17+I17+H17+J17)/((1+$P$2)^A17)," ")</f>
        <v>21268.874432948742</v>
      </c>
      <c r="Q17" s="4">
        <f>IF(A17&lt;('2. Inputs and results'!$C$21+1),Q16+P17," ")</f>
        <v>269305.93340627872</v>
      </c>
      <c r="R17" s="4">
        <f>IF(A17&lt;('2. Inputs and results'!$C$21+1),R16+G17+I17+H17+J17+T17-$V$6,NA())</f>
        <v>83009.899402893716</v>
      </c>
      <c r="S17" s="4">
        <f>IF(A17&lt;('2. Inputs and results'!$C$21+1),'2. Inputs and results'!$C$79*(R16)," ")</f>
        <v>1029.1549236614471</v>
      </c>
      <c r="T17" s="4">
        <f t="shared" si="1"/>
        <v>0</v>
      </c>
      <c r="U17" s="4">
        <f>IF(A17&lt;('2. Inputs and results'!$C$21+1),U16+((G17+I17+H17+J17-$V$6+T17)/((1+$P$2)^A17)),NA())</f>
        <v>13010.163312473891</v>
      </c>
      <c r="V17" s="4">
        <f>IF(A17&lt;('2. Inputs and results'!$C$21+1),V16+('2. Inputs and results'!$C$75*'2. Inputs and results'!$C$73)," ")</f>
        <v>30000</v>
      </c>
      <c r="W17" s="4">
        <f>IF(A17&lt;('2. Inputs and results'!$C$21+1),W16+C17+Y17-$V$6,NA())</f>
        <v>26811.570242227175</v>
      </c>
      <c r="X17" s="4">
        <f>IF(A17&lt;('2. Inputs and results'!$C$21+1),'2. Inputs and results'!$C$79*(W16)," ")</f>
        <v>94.231404844543491</v>
      </c>
      <c r="Y17" s="4">
        <f t="shared" si="2"/>
        <v>0</v>
      </c>
      <c r="Z17" s="4">
        <f>IF(A17&lt;('2. Inputs and results'!$C$21+1),Z16+((C17-$V$6+Y17)/((1+$P$2)^A17)),NA())</f>
        <v>-27043.880768763604</v>
      </c>
      <c r="AA17" s="4">
        <f>IF(A17&lt;('2. Inputs and results'!$C$21+1),AA16+G17+I17+H17+T17-$V$6," ")</f>
        <v>295509.89940289373</v>
      </c>
      <c r="AB17" s="20">
        <f>IF(A17&lt;('2. Inputs and results'!$C$21+1),AA17/L17,NA())</f>
        <v>1.3906348207194998</v>
      </c>
      <c r="AC17" s="29">
        <f>IF(A17&lt;('2. Inputs and results'!$C$21+1),AC16+C17+Y17-$V$6," ")</f>
        <v>239311.5702422272</v>
      </c>
      <c r="AD17" s="20">
        <f>IF(A17&lt;('2. Inputs and results'!$C$21+1),AC17/L17,NA())</f>
        <v>1.1261720952575398</v>
      </c>
      <c r="AE17">
        <f>IF(A17&lt;('2. Inputs and results'!$C$21+1),-'2. Inputs and results'!$C$121*A17," ")</f>
        <v>-552000</v>
      </c>
      <c r="AF17">
        <f>IF(A17&lt;('2. Inputs and results'!$C$21+1),AE17/1000,NA())</f>
        <v>-552</v>
      </c>
    </row>
    <row r="18" spans="1:32" x14ac:dyDescent="0.25">
      <c r="A18">
        <f t="shared" si="0"/>
        <v>13</v>
      </c>
      <c r="B18">
        <f>IF(A18&lt;('2. Inputs and results'!$C$21+1),A18," ")</f>
        <v>13</v>
      </c>
      <c r="C18" s="4">
        <f>IF(A18&lt;('2. Inputs and results'!$C$21+1),'2. Inputs and results'!$C$99+'2. Inputs and results'!$C$101," ")</f>
        <v>24600</v>
      </c>
      <c r="D18" s="4">
        <f>IF(A18&lt;('2. Inputs and results'!$C$21+1),D17+C18,NA())</f>
        <v>319800</v>
      </c>
      <c r="E18" s="4">
        <f>IF(A18&lt;('2. Inputs and results'!$C$21+1),C18/((1+$P$2)^A18)," ")</f>
        <v>14774.122518913078</v>
      </c>
      <c r="F18" s="4">
        <f>IF(B18&lt;('2. Inputs and results'!$C$21+1),F17+E18," ")</f>
        <v>245646.93702717277</v>
      </c>
      <c r="G18" s="4">
        <f>IF(A18&lt;('2. Inputs and results'!$C$21+1),G17*(1+'2. Inputs and results'!$C$44)," ")</f>
        <v>64159.239908078074</v>
      </c>
      <c r="H18" s="4">
        <f>IF(A18&lt;('2. Inputs and results'!$C$21+1),H17*(1+'2. Inputs and results'!$C$56)," ")</f>
        <v>0</v>
      </c>
      <c r="I18" s="4">
        <f>IF(A18&lt;('2. Inputs and results'!$C$21+1),I17*(1+'2. Inputs and results'!$C$32)," ")</f>
        <v>-29085.52209166206</v>
      </c>
      <c r="J18" s="4">
        <f>IF(A18&lt;('2. Inputs and results'!$C$21+1),J17*(1+'2. Inputs and results'!$C$66)," ")</f>
        <v>0</v>
      </c>
      <c r="K18" s="4">
        <f>IF(A18&lt;('2. Inputs and results'!$C$21+1),K17+(G18+I18+H18+J18),NA())</f>
        <v>384197.64503028285</v>
      </c>
      <c r="L18" s="4">
        <f>IF(A18&lt;('2. Inputs and results'!$C$21+1),L17,NA())</f>
        <v>212500</v>
      </c>
      <c r="M18" s="4">
        <f>IF(A18&lt;('2. Inputs and results'!$C$21+1),'2. Inputs and results'!$C$75*'2. Inputs and results'!$C$73," ")</f>
        <v>2500</v>
      </c>
      <c r="N18" s="4">
        <f>IF(A18&lt;('2. Inputs and results'!$C$21+1),M18/((1+$P$2)^A18)," ")</f>
        <v>1501.4352153366949</v>
      </c>
      <c r="O18" s="4">
        <f>IF(A18&lt;('2. Inputs and results'!$C$21+1),'2. Inputs and results'!$C$73*'2. Inputs and results'!$C$75+O17," ")</f>
        <v>242500</v>
      </c>
      <c r="P18" s="4">
        <f>IF(A18&lt;('2. Inputs and results'!$C$21+1),(G18+I18+H18+J18)/((1+$P$2)^A18)," ")</f>
        <v>21064.366024939623</v>
      </c>
      <c r="Q18" s="4">
        <f>IF(A18&lt;('2. Inputs and results'!$C$21+1),Q17+P18," ")</f>
        <v>290370.29943121836</v>
      </c>
      <c r="R18" s="4">
        <f>IF(A18&lt;('2. Inputs and results'!$C$21+1),R17+G18+I18+H18+J18+T18-$V$6,NA())</f>
        <v>115583.61721930972</v>
      </c>
      <c r="S18" s="4">
        <f>IF(A18&lt;('2. Inputs and results'!$C$21+1),'2. Inputs and results'!$C$79*(R17)," ")</f>
        <v>1660.1979880578745</v>
      </c>
      <c r="T18" s="4">
        <f t="shared" si="1"/>
        <v>0</v>
      </c>
      <c r="U18" s="4">
        <f>IF(A18&lt;('2. Inputs and results'!$C$21+1),U17+((G18+I18+H18+J18-$V$6+T18)/((1+$P$2)^A18)),NA())</f>
        <v>32573.094122076818</v>
      </c>
      <c r="V18" s="4">
        <f>IF(A18&lt;('2. Inputs and results'!$C$21+1),V17+('2. Inputs and results'!$C$75*'2. Inputs and results'!$C$73)," ")</f>
        <v>32500</v>
      </c>
      <c r="W18" s="4">
        <f>IF(A18&lt;('2. Inputs and results'!$C$21+1),W17+C18+Y18-$V$6,NA())</f>
        <v>48911.570242227172</v>
      </c>
      <c r="X18" s="4">
        <f>IF(A18&lt;('2. Inputs and results'!$C$21+1),'2. Inputs and results'!$C$79*(W17)," ")</f>
        <v>536.23140484454348</v>
      </c>
      <c r="Y18" s="4">
        <f t="shared" si="2"/>
        <v>0</v>
      </c>
      <c r="Z18" s="4">
        <f>IF(A18&lt;('2. Inputs and results'!$C$21+1),Z17+((C18-$V$6+Y18)/((1+$P$2)^A18)),NA())</f>
        <v>-13771.19346518722</v>
      </c>
      <c r="AA18" s="4">
        <f>IF(A18&lt;('2. Inputs and results'!$C$21+1),AA17+G18+I18+H18+T18-$V$6," ")</f>
        <v>328083.61721930979</v>
      </c>
      <c r="AB18" s="20">
        <f>IF(A18&lt;('2. Inputs and results'!$C$21+1),AA18/L18,NA())</f>
        <v>1.5439229045614578</v>
      </c>
      <c r="AC18" s="29">
        <f>IF(A18&lt;('2. Inputs and results'!$C$21+1),AC17+C18+Y18-$V$6," ")</f>
        <v>261411.57024222717</v>
      </c>
      <c r="AD18" s="20">
        <f>IF(A18&lt;('2. Inputs and results'!$C$21+1),AC18/L18,NA())</f>
        <v>1.2301720952575397</v>
      </c>
      <c r="AE18">
        <f>IF(A18&lt;('2. Inputs and results'!$C$21+1),-'2. Inputs and results'!$C$121*A18," ")</f>
        <v>-598000</v>
      </c>
      <c r="AF18">
        <f>IF(A18&lt;('2. Inputs and results'!$C$21+1),AE18/1000,NA())</f>
        <v>-598</v>
      </c>
    </row>
    <row r="19" spans="1:32" x14ac:dyDescent="0.25">
      <c r="A19">
        <f t="shared" si="0"/>
        <v>14</v>
      </c>
      <c r="B19">
        <f>IF(A19&lt;('2. Inputs and results'!$C$21+1),A19," ")</f>
        <v>14</v>
      </c>
      <c r="C19" s="4">
        <f>IF(A19&lt;('2. Inputs and results'!$C$21+1),'2. Inputs and results'!$C$99+'2. Inputs and results'!$C$101," ")</f>
        <v>24600</v>
      </c>
      <c r="D19" s="4">
        <f>IF(A19&lt;('2. Inputs and results'!$C$21+1),D18+C19,NA())</f>
        <v>344400</v>
      </c>
      <c r="E19" s="4">
        <f>IF(A19&lt;('2. Inputs and results'!$C$21+1),C19/((1+$P$2)^A19)," ")</f>
        <v>14205.887037416422</v>
      </c>
      <c r="F19" s="4">
        <f>IF(B19&lt;('2. Inputs and results'!$C$21+1),F18+E19," ")</f>
        <v>259852.82406458919</v>
      </c>
      <c r="G19" s="4">
        <f>IF(A19&lt;('2. Inputs and results'!$C$21+1),G18*(1+'2. Inputs and results'!$C$44)," ")</f>
        <v>66084.017105320425</v>
      </c>
      <c r="H19" s="4">
        <f>IF(A19&lt;('2. Inputs and results'!$C$21+1),H18*(1+'2. Inputs and results'!$C$56)," ")</f>
        <v>0</v>
      </c>
      <c r="I19" s="4">
        <f>IF(A19&lt;('2. Inputs and results'!$C$21+1),I18*(1+'2. Inputs and results'!$C$32)," ")</f>
        <v>-29958.087754411921</v>
      </c>
      <c r="J19" s="4">
        <f>IF(A19&lt;('2. Inputs and results'!$C$21+1),J18*(1+'2. Inputs and results'!$C$66)," ")</f>
        <v>0</v>
      </c>
      <c r="K19" s="4">
        <f>IF(A19&lt;('2. Inputs and results'!$C$21+1),K18+(G19+I19+H19+J19),NA())</f>
        <v>420323.57438119134</v>
      </c>
      <c r="L19" s="4">
        <f>IF(A19&lt;('2. Inputs and results'!$C$21+1),L18,NA())</f>
        <v>212500</v>
      </c>
      <c r="M19" s="4">
        <f>IF(A19&lt;('2. Inputs and results'!$C$21+1),'2. Inputs and results'!$C$75*'2. Inputs and results'!$C$73," ")</f>
        <v>2500</v>
      </c>
      <c r="N19" s="4">
        <f>IF(A19&lt;('2. Inputs and results'!$C$21+1),M19/((1+$P$2)^A19)," ")</f>
        <v>1443.6877070545145</v>
      </c>
      <c r="O19" s="4">
        <f>IF(A19&lt;('2. Inputs and results'!$C$21+1),'2. Inputs and results'!$C$73*'2. Inputs and results'!$C$75+O18," ")</f>
        <v>245000</v>
      </c>
      <c r="P19" s="4">
        <f>IF(A19&lt;('2. Inputs and results'!$C$21+1),(G19+I19+H19+J19)/((1+$P$2)^A19)," ")</f>
        <v>20861.824043930592</v>
      </c>
      <c r="Q19" s="4">
        <f>IF(A19&lt;('2. Inputs and results'!$C$21+1),Q18+P19," ")</f>
        <v>311232.12347514892</v>
      </c>
      <c r="R19" s="4">
        <f>IF(A19&lt;('2. Inputs and results'!$C$21+1),R18+G19+I19+H19+J19+T19-$V$6,NA())</f>
        <v>149209.54657021823</v>
      </c>
      <c r="S19" s="4">
        <f>IF(A19&lt;('2. Inputs and results'!$C$21+1),'2. Inputs and results'!$C$79*(R18)," ")</f>
        <v>2311.6723443861943</v>
      </c>
      <c r="T19" s="4">
        <f t="shared" si="1"/>
        <v>0</v>
      </c>
      <c r="U19" s="4">
        <f>IF(A19&lt;('2. Inputs and results'!$C$21+1),U18+((G19+I19+H19+J19-$V$6+T19)/((1+$P$2)^A19)),NA())</f>
        <v>51991.230458952894</v>
      </c>
      <c r="V19" s="4">
        <f>IF(A19&lt;('2. Inputs and results'!$C$21+1),V18+('2. Inputs and results'!$C$75*'2. Inputs and results'!$C$73)," ")</f>
        <v>35000</v>
      </c>
      <c r="W19" s="4">
        <f>IF(A19&lt;('2. Inputs and results'!$C$21+1),W18+C19+Y19-$V$6,NA())</f>
        <v>71011.570242227172</v>
      </c>
      <c r="X19" s="4">
        <f>IF(A19&lt;('2. Inputs and results'!$C$21+1),'2. Inputs and results'!$C$79*(W18)," ")</f>
        <v>978.23140484454348</v>
      </c>
      <c r="Y19" s="4">
        <f t="shared" si="2"/>
        <v>0</v>
      </c>
      <c r="Z19" s="4">
        <f>IF(A19&lt;('2. Inputs and results'!$C$21+1),Z18+((C19-$V$6+Y19)/((1+$P$2)^A19)),NA())</f>
        <v>-1008.9941348253124</v>
      </c>
      <c r="AA19" s="4">
        <f>IF(A19&lt;('2. Inputs and results'!$C$21+1),AA18+G19+I19+H19+T19-$V$6," ")</f>
        <v>361709.54657021828</v>
      </c>
      <c r="AB19" s="20">
        <f>IF(A19&lt;('2. Inputs and results'!$C$21+1),AA19/L19,NA())</f>
        <v>1.7021625720951448</v>
      </c>
      <c r="AC19" s="29">
        <f>IF(A19&lt;('2. Inputs and results'!$C$21+1),AC18+C19+Y19-$V$6," ")</f>
        <v>283511.57024222717</v>
      </c>
      <c r="AD19" s="20">
        <f>IF(A19&lt;('2. Inputs and results'!$C$21+1),AC19/L19,NA())</f>
        <v>1.3341720952575395</v>
      </c>
      <c r="AE19">
        <f>IF(A19&lt;('2. Inputs and results'!$C$21+1),-'2. Inputs and results'!$C$121*A19," ")</f>
        <v>-644000</v>
      </c>
      <c r="AF19">
        <f>IF(A19&lt;('2. Inputs and results'!$C$21+1),AE19/1000,NA())</f>
        <v>-644</v>
      </c>
    </row>
    <row r="20" spans="1:32" x14ac:dyDescent="0.25">
      <c r="A20">
        <f t="shared" si="0"/>
        <v>15</v>
      </c>
      <c r="B20">
        <f>IF(A20&lt;('2. Inputs and results'!$C$21+1),A20," ")</f>
        <v>15</v>
      </c>
      <c r="C20" s="4">
        <f>IF(A20&lt;('2. Inputs and results'!$C$21+1),'2. Inputs and results'!$C$99+'2. Inputs and results'!$C$101," ")</f>
        <v>24600</v>
      </c>
      <c r="D20" s="4">
        <f>IF(A20&lt;('2. Inputs and results'!$C$21+1),D19+C20,NA())</f>
        <v>369000</v>
      </c>
      <c r="E20" s="4">
        <f>IF(A20&lt;('2. Inputs and results'!$C$21+1),C20/((1+$P$2)^A20)," ")</f>
        <v>13659.506766746561</v>
      </c>
      <c r="F20" s="4">
        <f>IF(B20&lt;('2. Inputs and results'!$C$21+1),F19+E20," ")</f>
        <v>273512.33083133574</v>
      </c>
      <c r="G20" s="4">
        <f>IF(A20&lt;('2. Inputs and results'!$C$21+1),G19*(1+'2. Inputs and results'!$C$44)," ")</f>
        <v>68066.537618480041</v>
      </c>
      <c r="H20" s="4">
        <f>IF(A20&lt;('2. Inputs and results'!$C$21+1),H19*(1+'2. Inputs and results'!$C$56)," ")</f>
        <v>0</v>
      </c>
      <c r="I20" s="4">
        <f>IF(A20&lt;('2. Inputs and results'!$C$21+1),I19*(1+'2. Inputs and results'!$C$32)," ")</f>
        <v>-30856.83038704428</v>
      </c>
      <c r="J20" s="4">
        <f>IF(A20&lt;('2. Inputs and results'!$C$21+1),J19*(1+'2. Inputs and results'!$C$66)," ")</f>
        <v>0</v>
      </c>
      <c r="K20" s="4">
        <f>IF(A20&lt;('2. Inputs and results'!$C$21+1),K19+(G20+I20+H20+J20),NA())</f>
        <v>457533.28161262709</v>
      </c>
      <c r="L20" s="4">
        <f>IF(A20&lt;('2. Inputs and results'!$C$21+1),L19,NA())</f>
        <v>212500</v>
      </c>
      <c r="M20" s="4">
        <f>IF(A20&lt;('2. Inputs and results'!$C$21+1),'2. Inputs and results'!$C$75*'2. Inputs and results'!$C$73," ")</f>
        <v>2500</v>
      </c>
      <c r="N20" s="4">
        <f>IF(A20&lt;('2. Inputs and results'!$C$21+1),M20/((1+$P$2)^A20)," ")</f>
        <v>1388.1612567831869</v>
      </c>
      <c r="O20" s="4">
        <f>IF(A20&lt;('2. Inputs and results'!$C$21+1),'2. Inputs and results'!$C$73*'2. Inputs and results'!$C$75+O19," ")</f>
        <v>247500</v>
      </c>
      <c r="P20" s="4">
        <f>IF(A20&lt;('2. Inputs and results'!$C$21+1),(G20+I20+H20+J20)/((1+$P$2)^A20)," ")</f>
        <v>20661.229581969725</v>
      </c>
      <c r="Q20" s="4">
        <f>IF(A20&lt;('2. Inputs and results'!$C$21+1),Q19+P20," ")</f>
        <v>331893.35305711866</v>
      </c>
      <c r="R20" s="4">
        <f>IF(A20&lt;('2. Inputs and results'!$C$21+1),R19+G20+I20+H20+J20+T20-$V$6,NA())</f>
        <v>183919.25380165398</v>
      </c>
      <c r="S20" s="4">
        <f>IF(A20&lt;('2. Inputs and results'!$C$21+1),'2. Inputs and results'!$C$79*(R19)," ")</f>
        <v>2984.1909314043646</v>
      </c>
      <c r="T20" s="4">
        <f t="shared" si="1"/>
        <v>0</v>
      </c>
      <c r="U20" s="4">
        <f>IF(A20&lt;('2. Inputs and results'!$C$21+1),U19+((G20+I20+H20+J20-$V$6+T20)/((1+$P$2)^A20)),NA())</f>
        <v>71264.298784139435</v>
      </c>
      <c r="V20" s="4">
        <f>IF(A20&lt;('2. Inputs and results'!$C$21+1),V19+('2. Inputs and results'!$C$75*'2. Inputs and results'!$C$73)," ")</f>
        <v>37500</v>
      </c>
      <c r="W20" s="4">
        <f>IF(A20&lt;('2. Inputs and results'!$C$21+1),W19+C20+Y20-$V$6,NA())</f>
        <v>93111.570242227172</v>
      </c>
      <c r="X20" s="4">
        <f>IF(A20&lt;('2. Inputs and results'!$C$21+1),'2. Inputs and results'!$C$79*(W19)," ")</f>
        <v>1420.2314048445435</v>
      </c>
      <c r="Y20" s="4">
        <f t="shared" si="2"/>
        <v>0</v>
      </c>
      <c r="Z20" s="4">
        <f>IF(A20&lt;('2. Inputs and results'!$C$21+1),Z19+((C20-$V$6+Y20)/((1+$P$2)^A20)),NA())</f>
        <v>11262.351375138061</v>
      </c>
      <c r="AA20" s="4">
        <f>IF(A20&lt;('2. Inputs and results'!$C$21+1),AA19+G20+I20+H20+T20-$V$6," ")</f>
        <v>396419.25380165403</v>
      </c>
      <c r="AB20" s="20">
        <f>IF(A20&lt;('2. Inputs and results'!$C$21+1),AA20/L20,NA())</f>
        <v>1.8655023708313132</v>
      </c>
      <c r="AC20" s="29">
        <f>IF(A20&lt;('2. Inputs and results'!$C$21+1),AC19+C20+Y20-$V$6," ")</f>
        <v>305611.57024222717</v>
      </c>
      <c r="AD20" s="20">
        <f>IF(A20&lt;('2. Inputs and results'!$C$21+1),AC20/L20,NA())</f>
        <v>1.4381720952575396</v>
      </c>
      <c r="AE20">
        <f>IF(A20&lt;('2. Inputs and results'!$C$21+1),-'2. Inputs and results'!$C$121*A20," ")</f>
        <v>-690000</v>
      </c>
      <c r="AF20">
        <f>IF(A20&lt;('2. Inputs and results'!$C$21+1),AE20/1000,NA())</f>
        <v>-690</v>
      </c>
    </row>
    <row r="21" spans="1:32" x14ac:dyDescent="0.25">
      <c r="A21">
        <f t="shared" si="0"/>
        <v>16</v>
      </c>
      <c r="B21">
        <f>IF(A21&lt;('2. Inputs and results'!$C$21+1),A21," ")</f>
        <v>16</v>
      </c>
      <c r="C21" s="4">
        <f>IF(A21&lt;('2. Inputs and results'!$C$21+1),'2. Inputs and results'!$C$99+'2. Inputs and results'!$C$101," ")</f>
        <v>24600</v>
      </c>
      <c r="D21" s="4">
        <f>IF(A21&lt;('2. Inputs and results'!$C$21+1),D20+C21,NA())</f>
        <v>393600</v>
      </c>
      <c r="E21" s="4">
        <f>IF(A21&lt;('2. Inputs and results'!$C$21+1),C21/((1+$P$2)^A21)," ")</f>
        <v>13134.141121871689</v>
      </c>
      <c r="F21" s="4">
        <f>IF(B21&lt;('2. Inputs and results'!$C$21+1),F20+E21," ")</f>
        <v>286646.47195320745</v>
      </c>
      <c r="G21" s="4">
        <f>IF(A21&lt;('2. Inputs and results'!$C$21+1),G20*(1+'2. Inputs and results'!$C$44)," ")</f>
        <v>70108.533747034438</v>
      </c>
      <c r="H21" s="4">
        <f>IF(A21&lt;('2. Inputs and results'!$C$21+1),H20*(1+'2. Inputs and results'!$C$56)," ")</f>
        <v>0</v>
      </c>
      <c r="I21" s="4">
        <f>IF(A21&lt;('2. Inputs and results'!$C$21+1),I20*(1+'2. Inputs and results'!$C$32)," ")</f>
        <v>-31782.53529865561</v>
      </c>
      <c r="J21" s="4">
        <f>IF(A21&lt;('2. Inputs and results'!$C$21+1),J20*(1+'2. Inputs and results'!$C$66)," ")</f>
        <v>0</v>
      </c>
      <c r="K21" s="4">
        <f>IF(A21&lt;('2. Inputs and results'!$C$21+1),K20+(G21+I21+H21+J21),NA())</f>
        <v>495859.28006100591</v>
      </c>
      <c r="L21" s="4">
        <f>IF(A21&lt;('2. Inputs and results'!$C$21+1),L20,NA())</f>
        <v>212500</v>
      </c>
      <c r="M21" s="4">
        <f>IF(A21&lt;('2. Inputs and results'!$C$21+1),'2. Inputs and results'!$C$75*'2. Inputs and results'!$C$73," ")</f>
        <v>2500</v>
      </c>
      <c r="N21" s="4">
        <f>IF(A21&lt;('2. Inputs and results'!$C$21+1),M21/((1+$P$2)^A21)," ")</f>
        <v>1334.7704392146027</v>
      </c>
      <c r="O21" s="4">
        <f>IF(A21&lt;('2. Inputs and results'!$C$21+1),'2. Inputs and results'!$C$73*'2. Inputs and results'!$C$75+O20," ")</f>
        <v>250000</v>
      </c>
      <c r="P21" s="4">
        <f>IF(A21&lt;('2. Inputs and results'!$C$21+1),(G21+I21+H21+J21)/((1+$P$2)^A21)," ")</f>
        <v>20462.563912912316</v>
      </c>
      <c r="Q21" s="4">
        <f>IF(A21&lt;('2. Inputs and results'!$C$21+1),Q20+P21," ")</f>
        <v>352355.91697003099</v>
      </c>
      <c r="R21" s="4">
        <f>IF(A21&lt;('2. Inputs and results'!$C$21+1),R20+G21+I21+H21+J21+T21-$V$6,NA())</f>
        <v>219745.25225003279</v>
      </c>
      <c r="S21" s="4">
        <f>IF(A21&lt;('2. Inputs and results'!$C$21+1),'2. Inputs and results'!$C$79*(R20)," ")</f>
        <v>3678.3850760330797</v>
      </c>
      <c r="T21" s="4">
        <f t="shared" si="1"/>
        <v>0</v>
      </c>
      <c r="U21" s="4">
        <f>IF(A21&lt;('2. Inputs and results'!$C$21+1),U20+((G21+I21+H21+J21-$V$6+T21)/((1+$P$2)^A21)),NA())</f>
        <v>90392.092257837154</v>
      </c>
      <c r="V21" s="4">
        <f>IF(A21&lt;('2. Inputs and results'!$C$21+1),V20+('2. Inputs and results'!$C$75*'2. Inputs and results'!$C$73)," ")</f>
        <v>40000</v>
      </c>
      <c r="W21" s="4">
        <f>IF(A21&lt;('2. Inputs and results'!$C$21+1),W20+C21+Y21-$V$6,NA())</f>
        <v>115211.57024222717</v>
      </c>
      <c r="X21" s="4">
        <f>IF(A21&lt;('2. Inputs and results'!$C$21+1),'2. Inputs and results'!$C$79*(W20)," ")</f>
        <v>1862.2314048445435</v>
      </c>
      <c r="Y21" s="4">
        <f t="shared" si="2"/>
        <v>0</v>
      </c>
      <c r="Z21" s="4">
        <f>IF(A21&lt;('2. Inputs and results'!$C$21+1),Z20+((C21-$V$6+Y21)/((1+$P$2)^A21)),NA())</f>
        <v>23061.722057795148</v>
      </c>
      <c r="AA21" s="4">
        <f>IF(A21&lt;('2. Inputs and results'!$C$21+1),AA20+G21+I21+H21+T21-$V$6," ")</f>
        <v>432245.25225003285</v>
      </c>
      <c r="AB21" s="20">
        <f>IF(A21&lt;('2. Inputs and results'!$C$21+1),AA21/L21,NA())</f>
        <v>2.0340953047060371</v>
      </c>
      <c r="AC21" s="29">
        <f>IF(A21&lt;('2. Inputs and results'!$C$21+1),AC20+C21+Y21-$V$6," ")</f>
        <v>327711.57024222717</v>
      </c>
      <c r="AD21" s="20">
        <f>IF(A21&lt;('2. Inputs and results'!$C$21+1),AC21/L21,NA())</f>
        <v>1.5421720952575397</v>
      </c>
      <c r="AE21">
        <f>IF(A21&lt;('2. Inputs and results'!$C$21+1),-'2. Inputs and results'!$C$121*A21," ")</f>
        <v>-736000</v>
      </c>
      <c r="AF21">
        <f>IF(A21&lt;('2. Inputs and results'!$C$21+1),AE21/1000,NA())</f>
        <v>-736</v>
      </c>
    </row>
    <row r="22" spans="1:32" x14ac:dyDescent="0.25">
      <c r="A22">
        <f t="shared" si="0"/>
        <v>17</v>
      </c>
      <c r="B22">
        <f>IF(A22&lt;('2. Inputs and results'!$C$21+1),A22," ")</f>
        <v>17</v>
      </c>
      <c r="C22" s="4">
        <f>IF(A22&lt;('2. Inputs and results'!$C$21+1),'2. Inputs and results'!$C$99+'2. Inputs and results'!$C$101," ")</f>
        <v>24600</v>
      </c>
      <c r="D22" s="4">
        <f>IF(A22&lt;('2. Inputs and results'!$C$21+1),D21+C22,NA())</f>
        <v>418200</v>
      </c>
      <c r="E22" s="4">
        <f>IF(A22&lt;('2. Inputs and results'!$C$21+1),C22/((1+$P$2)^A22)," ")</f>
        <v>12628.981847953548</v>
      </c>
      <c r="F22" s="4">
        <f>IF(B22&lt;('2. Inputs and results'!$C$21+1),F21+E22," ")</f>
        <v>299275.45380116103</v>
      </c>
      <c r="G22" s="4">
        <f>IF(A22&lt;('2. Inputs and results'!$C$21+1),G21*(1+'2. Inputs and results'!$C$44)," ")</f>
        <v>72211.78975944547</v>
      </c>
      <c r="H22" s="4">
        <f>IF(A22&lt;('2. Inputs and results'!$C$21+1),H21*(1+'2. Inputs and results'!$C$56)," ")</f>
        <v>0</v>
      </c>
      <c r="I22" s="4">
        <f>IF(A22&lt;('2. Inputs and results'!$C$21+1),I21*(1+'2. Inputs and results'!$C$32)," ")</f>
        <v>-32736.01135761528</v>
      </c>
      <c r="J22" s="4">
        <f>IF(A22&lt;('2. Inputs and results'!$C$21+1),J21*(1+'2. Inputs and results'!$C$66)," ")</f>
        <v>0</v>
      </c>
      <c r="K22" s="4">
        <f>IF(A22&lt;('2. Inputs and results'!$C$21+1),K21+(G22+I22+H22+J22),NA())</f>
        <v>535335.05846283608</v>
      </c>
      <c r="L22" s="4">
        <f>IF(A22&lt;('2. Inputs and results'!$C$21+1),L21,NA())</f>
        <v>212500</v>
      </c>
      <c r="M22" s="4">
        <f>IF(A22&lt;('2. Inputs and results'!$C$21+1),'2. Inputs and results'!$C$75*'2. Inputs and results'!$C$73," ")</f>
        <v>2500</v>
      </c>
      <c r="N22" s="4">
        <f>IF(A22&lt;('2. Inputs and results'!$C$21+1),M22/((1+$P$2)^A22)," ")</f>
        <v>1283.4331146294255</v>
      </c>
      <c r="O22" s="4">
        <f>IF(A22&lt;('2. Inputs and results'!$C$21+1),'2. Inputs and results'!$C$73*'2. Inputs and results'!$C$75+O21," ")</f>
        <v>252500</v>
      </c>
      <c r="P22" s="4">
        <f>IF(A22&lt;('2. Inputs and results'!$C$21+1),(G22+I22+H22+J22)/((1+$P$2)^A22)," ")</f>
        <v>20265.808490672771</v>
      </c>
      <c r="Q22" s="4">
        <f>IF(A22&lt;('2. Inputs and results'!$C$21+1),Q21+P22," ")</f>
        <v>372621.72546070378</v>
      </c>
      <c r="R22" s="4">
        <f>IF(A22&lt;('2. Inputs and results'!$C$21+1),R21+G22+I22+H22+J22+T22-$V$6,NA())</f>
        <v>256721.03065186297</v>
      </c>
      <c r="S22" s="4">
        <f>IF(A22&lt;('2. Inputs and results'!$C$21+1),'2. Inputs and results'!$C$79*(R21)," ")</f>
        <v>4394.9050450006562</v>
      </c>
      <c r="T22" s="4">
        <f t="shared" si="1"/>
        <v>0</v>
      </c>
      <c r="U22" s="4">
        <f>IF(A22&lt;('2. Inputs and results'!$C$21+1),U21+((G22+I22+H22+J22-$V$6+T22)/((1+$P$2)^A22)),NA())</f>
        <v>109374.4676338805</v>
      </c>
      <c r="V22" s="4">
        <f>IF(A22&lt;('2. Inputs and results'!$C$21+1),V21+('2. Inputs and results'!$C$75*'2. Inputs and results'!$C$73)," ")</f>
        <v>42500</v>
      </c>
      <c r="W22" s="4">
        <f>IF(A22&lt;('2. Inputs and results'!$C$21+1),W21+C22+Y22-$V$6,NA())</f>
        <v>137311.57024222717</v>
      </c>
      <c r="X22" s="4">
        <f>IF(A22&lt;('2. Inputs and results'!$C$21+1),'2. Inputs and results'!$C$79*(W21)," ")</f>
        <v>2304.2314048445437</v>
      </c>
      <c r="Y22" s="4">
        <f t="shared" si="2"/>
        <v>0</v>
      </c>
      <c r="Z22" s="4">
        <f>IF(A22&lt;('2. Inputs and results'!$C$21+1),Z21+((C22-$V$6+Y22)/((1+$P$2)^A22)),NA())</f>
        <v>34407.27079111927</v>
      </c>
      <c r="AA22" s="4">
        <f>IF(A22&lt;('2. Inputs and results'!$C$21+1),AA21+G22+I22+H22+T22-$V$6," ")</f>
        <v>469221.03065186302</v>
      </c>
      <c r="AB22" s="20">
        <f>IF(A22&lt;('2. Inputs and results'!$C$21+1),AA22/L22,NA())</f>
        <v>2.208098967773473</v>
      </c>
      <c r="AC22" s="29">
        <f>IF(A22&lt;('2. Inputs and results'!$C$21+1),AC21+C22+Y22-$V$6," ")</f>
        <v>349811.57024222717</v>
      </c>
      <c r="AD22" s="20">
        <f>IF(A22&lt;('2. Inputs and results'!$C$21+1),AC22/L22,NA())</f>
        <v>1.6461720952575396</v>
      </c>
      <c r="AE22">
        <f>IF(A22&lt;('2. Inputs and results'!$C$21+1),-'2. Inputs and results'!$C$121*A22," ")</f>
        <v>-782000</v>
      </c>
      <c r="AF22">
        <f>IF(A22&lt;('2. Inputs and results'!$C$21+1),AE22/1000,NA())</f>
        <v>-782</v>
      </c>
    </row>
    <row r="23" spans="1:32" x14ac:dyDescent="0.25">
      <c r="A23">
        <f t="shared" si="0"/>
        <v>18</v>
      </c>
      <c r="B23">
        <f>IF(A23&lt;('2. Inputs and results'!$C$21+1),A23," ")</f>
        <v>18</v>
      </c>
      <c r="C23" s="4">
        <f>IF(A23&lt;('2. Inputs and results'!$C$21+1),'2. Inputs and results'!$C$99+'2. Inputs and results'!$C$101," ")</f>
        <v>24600</v>
      </c>
      <c r="D23" s="4">
        <f>IF(A23&lt;('2. Inputs and results'!$C$21+1),D22+C23,NA())</f>
        <v>442800</v>
      </c>
      <c r="E23" s="4">
        <f>IF(A23&lt;('2. Inputs and results'!$C$21+1),C23/((1+$P$2)^A23)," ")</f>
        <v>12143.251776878409</v>
      </c>
      <c r="F23" s="4">
        <f>IF(B23&lt;('2. Inputs and results'!$C$21+1),F22+E23," ")</f>
        <v>311418.70557803946</v>
      </c>
      <c r="G23" s="4">
        <f>IF(A23&lt;('2. Inputs and results'!$C$21+1),G22*(1+'2. Inputs and results'!$C$44)," ")</f>
        <v>74378.143452228833</v>
      </c>
      <c r="H23" s="4">
        <f>IF(A23&lt;('2. Inputs and results'!$C$21+1),H22*(1+'2. Inputs and results'!$C$56)," ")</f>
        <v>0</v>
      </c>
      <c r="I23" s="4">
        <f>IF(A23&lt;('2. Inputs and results'!$C$21+1),I22*(1+'2. Inputs and results'!$C$32)," ")</f>
        <v>-33718.091698343742</v>
      </c>
      <c r="J23" s="4">
        <f>IF(A23&lt;('2. Inputs and results'!$C$21+1),J22*(1+'2. Inputs and results'!$C$66)," ")</f>
        <v>0</v>
      </c>
      <c r="K23" s="4">
        <f>IF(A23&lt;('2. Inputs and results'!$C$21+1),K22+(G23+I23+H23+J23),NA())</f>
        <v>575995.11021672119</v>
      </c>
      <c r="L23" s="4">
        <f>IF(A23&lt;('2. Inputs and results'!$C$21+1),L22,NA())</f>
        <v>212500</v>
      </c>
      <c r="M23" s="4">
        <f>IF(A23&lt;('2. Inputs and results'!$C$21+1),'2. Inputs and results'!$C$75*'2. Inputs and results'!$C$73," ")</f>
        <v>2500</v>
      </c>
      <c r="N23" s="4">
        <f>IF(A23&lt;('2. Inputs and results'!$C$21+1),M23/((1+$P$2)^A23)," ")</f>
        <v>1234.0703025282937</v>
      </c>
      <c r="O23" s="4">
        <f>IF(A23&lt;('2. Inputs and results'!$C$21+1),'2. Inputs and results'!$C$73*'2. Inputs and results'!$C$75+O22," ")</f>
        <v>255000</v>
      </c>
      <c r="P23" s="4">
        <f>IF(A23&lt;('2. Inputs and results'!$C$21+1),(G23+I23+H23+J23)/((1+$P$2)^A23)," ")</f>
        <v>20070.944947493223</v>
      </c>
      <c r="Q23" s="4">
        <f>IF(A23&lt;('2. Inputs and results'!$C$21+1),Q22+P23," ")</f>
        <v>392692.67040819698</v>
      </c>
      <c r="R23" s="4">
        <f>IF(A23&lt;('2. Inputs and results'!$C$21+1),R22+G23+I23+H23+J23+T23-$V$6,NA())</f>
        <v>294881.08240574808</v>
      </c>
      <c r="S23" s="4">
        <f>IF(A23&lt;('2. Inputs and results'!$C$21+1),'2. Inputs and results'!$C$79*(R22)," ")</f>
        <v>5134.4206130372595</v>
      </c>
      <c r="T23" s="4">
        <f t="shared" si="1"/>
        <v>0</v>
      </c>
      <c r="U23" s="4">
        <f>IF(A23&lt;('2. Inputs and results'!$C$21+1),U22+((G23+I23+H23+J23-$V$6+T23)/((1+$P$2)^A23)),NA())</f>
        <v>128211.34227884543</v>
      </c>
      <c r="V23" s="4">
        <f>IF(A23&lt;('2. Inputs and results'!$C$21+1),V22+('2. Inputs and results'!$C$75*'2. Inputs and results'!$C$73)," ")</f>
        <v>45000</v>
      </c>
      <c r="W23" s="4">
        <f>IF(A23&lt;('2. Inputs and results'!$C$21+1),W22+C23+Y23-$V$6,NA())</f>
        <v>159411.57024222717</v>
      </c>
      <c r="X23" s="4">
        <f>IF(A23&lt;('2. Inputs and results'!$C$21+1),'2. Inputs and results'!$C$79*(W22)," ")</f>
        <v>2746.2314048445437</v>
      </c>
      <c r="Y23" s="4">
        <f t="shared" si="2"/>
        <v>0</v>
      </c>
      <c r="Z23" s="4">
        <f>IF(A23&lt;('2. Inputs and results'!$C$21+1),Z22+((C23-$V$6+Y23)/((1+$P$2)^A23)),NA())</f>
        <v>45316.452265469386</v>
      </c>
      <c r="AA23" s="4">
        <f>IF(A23&lt;('2. Inputs and results'!$C$21+1),AA22+G23+I23+H23+T23-$V$6," ")</f>
        <v>507381.08240574808</v>
      </c>
      <c r="AB23" s="20">
        <f>IF(A23&lt;('2. Inputs and results'!$C$21+1),AA23/L23,NA())</f>
        <v>2.3876756819094029</v>
      </c>
      <c r="AC23" s="29">
        <f>IF(A23&lt;('2. Inputs and results'!$C$21+1),AC22+C23+Y23-$V$6," ")</f>
        <v>371911.57024222717</v>
      </c>
      <c r="AD23" s="20">
        <f>IF(A23&lt;('2. Inputs and results'!$C$21+1),AC23/L23,NA())</f>
        <v>1.7501720952575397</v>
      </c>
      <c r="AE23">
        <f>IF(A23&lt;('2. Inputs and results'!$C$21+1),-'2. Inputs and results'!$C$121*A23," ")</f>
        <v>-828000</v>
      </c>
      <c r="AF23">
        <f>IF(A23&lt;('2. Inputs and results'!$C$21+1),AE23/1000,NA())</f>
        <v>-828</v>
      </c>
    </row>
    <row r="24" spans="1:32" x14ac:dyDescent="0.25">
      <c r="A24">
        <f t="shared" si="0"/>
        <v>19</v>
      </c>
      <c r="B24">
        <f>IF(A24&lt;('2. Inputs and results'!$C$21+1),A24," ")</f>
        <v>19</v>
      </c>
      <c r="C24" s="4">
        <f>IF(A24&lt;('2. Inputs and results'!$C$21+1),'2. Inputs and results'!$C$99+'2. Inputs and results'!$C$101," ")</f>
        <v>24600</v>
      </c>
      <c r="D24" s="4">
        <f>IF(A24&lt;('2. Inputs and results'!$C$21+1),D23+C24,NA())</f>
        <v>467400</v>
      </c>
      <c r="E24" s="4">
        <f>IF(A24&lt;('2. Inputs and results'!$C$21+1),C24/((1+$P$2)^A24)," ")</f>
        <v>11676.203631613856</v>
      </c>
      <c r="F24" s="4">
        <f>IF(B24&lt;('2. Inputs and results'!$C$21+1),F23+E24," ")</f>
        <v>323094.90920965333</v>
      </c>
      <c r="G24" s="4">
        <f>IF(A24&lt;('2. Inputs and results'!$C$21+1),G23*(1+'2. Inputs and results'!$C$44)," ")</f>
        <v>76609.487755795693</v>
      </c>
      <c r="H24" s="4">
        <f>IF(A24&lt;('2. Inputs and results'!$C$21+1),H23*(1+'2. Inputs and results'!$C$56)," ")</f>
        <v>0</v>
      </c>
      <c r="I24" s="4">
        <f>IF(A24&lt;('2. Inputs and results'!$C$21+1),I23*(1+'2. Inputs and results'!$C$32)," ")</f>
        <v>-34729.634449294055</v>
      </c>
      <c r="J24" s="4">
        <f>IF(A24&lt;('2. Inputs and results'!$C$21+1),J23*(1+'2. Inputs and results'!$C$66)," ")</f>
        <v>0</v>
      </c>
      <c r="K24" s="4">
        <f>IF(A24&lt;('2. Inputs and results'!$C$21+1),K23+(G24+I24+H24+J24),NA())</f>
        <v>617874.96352322283</v>
      </c>
      <c r="L24" s="4">
        <f>IF(A24&lt;('2. Inputs and results'!$C$21+1),L23,NA())</f>
        <v>212500</v>
      </c>
      <c r="M24" s="4">
        <f>IF(A24&lt;('2. Inputs and results'!$C$21+1),'2. Inputs and results'!$C$75*'2. Inputs and results'!$C$73," ")</f>
        <v>2500</v>
      </c>
      <c r="N24" s="4">
        <f>IF(A24&lt;('2. Inputs and results'!$C$21+1),M24/((1+$P$2)^A24)," ")</f>
        <v>1186.6060601233594</v>
      </c>
      <c r="O24" s="4">
        <f>IF(A24&lt;('2. Inputs and results'!$C$21+1),'2. Inputs and results'!$C$73*'2. Inputs and results'!$C$75+O23," ")</f>
        <v>257500</v>
      </c>
      <c r="P24" s="4">
        <f>IF(A24&lt;('2. Inputs and results'!$C$21+1),(G24+I24+H24+J24)/((1+$P$2)^A24)," ")</f>
        <v>19877.955092228862</v>
      </c>
      <c r="Q24" s="4">
        <f>IF(A24&lt;('2. Inputs and results'!$C$21+1),Q23+P24," ")</f>
        <v>412570.62550042581</v>
      </c>
      <c r="R24" s="4">
        <f>IF(A24&lt;('2. Inputs and results'!$C$21+1),R23+G24+I24+H24+J24+T24-$V$6,NA())</f>
        <v>334260.93571224972</v>
      </c>
      <c r="S24" s="4">
        <f>IF(A24&lt;('2. Inputs and results'!$C$21+1),'2. Inputs and results'!$C$79*(R23)," ")</f>
        <v>5897.6216481149613</v>
      </c>
      <c r="T24" s="4">
        <f t="shared" si="1"/>
        <v>0</v>
      </c>
      <c r="U24" s="4">
        <f>IF(A24&lt;('2. Inputs and results'!$C$21+1),U23+((G24+I24+H24+J24-$V$6+T24)/((1+$P$2)^A24)),NA())</f>
        <v>146902.69131095093</v>
      </c>
      <c r="V24" s="4">
        <f>IF(A24&lt;('2. Inputs and results'!$C$21+1),V23+('2. Inputs and results'!$C$75*'2. Inputs and results'!$C$73)," ")</f>
        <v>47500</v>
      </c>
      <c r="W24" s="4">
        <f>IF(A24&lt;('2. Inputs and results'!$C$21+1),W23+C24+Y24-$V$6,NA())</f>
        <v>181511.57024222717</v>
      </c>
      <c r="X24" s="4">
        <f>IF(A24&lt;('2. Inputs and results'!$C$21+1),'2. Inputs and results'!$C$79*(W23)," ")</f>
        <v>3188.2314048445437</v>
      </c>
      <c r="Y24" s="4">
        <f t="shared" si="2"/>
        <v>0</v>
      </c>
      <c r="Z24" s="4">
        <f>IF(A24&lt;('2. Inputs and results'!$C$21+1),Z23+((C24-$V$6+Y24)/((1+$P$2)^A24)),NA())</f>
        <v>55806.049836959879</v>
      </c>
      <c r="AA24" s="4">
        <f>IF(A24&lt;('2. Inputs and results'!$C$21+1),AA23+G24+I24+H24+T24-$V$6," ")</f>
        <v>546760.93571224972</v>
      </c>
      <c r="AB24" s="20">
        <f>IF(A24&lt;('2. Inputs and results'!$C$21+1),AA24/L24,NA())</f>
        <v>2.5729926386458812</v>
      </c>
      <c r="AC24" s="29">
        <f>IF(A24&lt;('2. Inputs and results'!$C$21+1),AC23+C24+Y24-$V$6," ")</f>
        <v>394011.57024222717</v>
      </c>
      <c r="AD24" s="20">
        <f>IF(A24&lt;('2. Inputs and results'!$C$21+1),AC24/L24,NA())</f>
        <v>1.8541720952575396</v>
      </c>
      <c r="AE24">
        <f>IF(A24&lt;('2. Inputs and results'!$C$21+1),-'2. Inputs and results'!$C$121*A24," ")</f>
        <v>-874000</v>
      </c>
      <c r="AF24">
        <f>IF(A24&lt;('2. Inputs and results'!$C$21+1),AE24/1000,NA())</f>
        <v>-874</v>
      </c>
    </row>
    <row r="25" spans="1:32" x14ac:dyDescent="0.25">
      <c r="A25">
        <f t="shared" si="0"/>
        <v>20</v>
      </c>
      <c r="B25">
        <f>IF(A25&lt;('2. Inputs and results'!$C$21+1),A25," ")</f>
        <v>20</v>
      </c>
      <c r="C25" s="4">
        <f>IF(A25&lt;('2. Inputs and results'!$C$21+1),'2. Inputs and results'!$C$99+'2. Inputs and results'!$C$101," ")</f>
        <v>24600</v>
      </c>
      <c r="D25" s="4">
        <f>IF(A25&lt;('2. Inputs and results'!$C$21+1),D24+C25,NA())</f>
        <v>492000</v>
      </c>
      <c r="E25" s="4">
        <f>IF(A25&lt;('2. Inputs and results'!$C$21+1),C25/((1+$P$2)^A25)," ")</f>
        <v>11227.118876551785</v>
      </c>
      <c r="F25" s="4">
        <f>IF(B25&lt;('2. Inputs and results'!$C$21+1),F24+E25," ")</f>
        <v>334322.02808620513</v>
      </c>
      <c r="G25" s="4">
        <f>IF(A25&lt;('2. Inputs and results'!$C$21+1),G24*(1+'2. Inputs and results'!$C$44)," ")</f>
        <v>78907.772388469573</v>
      </c>
      <c r="H25" s="4">
        <f>IF(A25&lt;('2. Inputs and results'!$C$21+1),H24*(1+'2. Inputs and results'!$C$56)," ")</f>
        <v>0</v>
      </c>
      <c r="I25" s="4">
        <f>IF(A25&lt;('2. Inputs and results'!$C$21+1),I24*(1+'2. Inputs and results'!$C$32)," ")</f>
        <v>-35771.523482772878</v>
      </c>
      <c r="J25" s="4">
        <f>IF(A25&lt;('2. Inputs and results'!$C$21+1),J24*(1+'2. Inputs and results'!$C$66)," ")</f>
        <v>0</v>
      </c>
      <c r="K25" s="4">
        <f>IF(A25&lt;('2. Inputs and results'!$C$21+1),K24+(G25+I25+H25+J25),NA())</f>
        <v>661011.21242891951</v>
      </c>
      <c r="L25" s="4">
        <f>IF(A25&lt;('2. Inputs and results'!$C$21+1),L24,NA())</f>
        <v>212500</v>
      </c>
      <c r="M25" s="4">
        <f>IF(A25&lt;('2. Inputs and results'!$C$21+1),'2. Inputs and results'!$C$75*'2. Inputs and results'!$C$73," ")</f>
        <v>2500</v>
      </c>
      <c r="N25" s="4">
        <f>IF(A25&lt;('2. Inputs and results'!$C$21+1),M25/((1+$P$2)^A25)," ")</f>
        <v>1140.9673655032302</v>
      </c>
      <c r="O25" s="4">
        <f>IF(A25&lt;('2. Inputs and results'!$C$21+1),'2. Inputs and results'!$C$73*'2. Inputs and results'!$C$75+O24," ")</f>
        <v>260000</v>
      </c>
      <c r="P25" s="4">
        <f>IF(A25&lt;('2. Inputs and results'!$C$21+1),(G25+I25+H25+J25)/((1+$P$2)^A25)," ")</f>
        <v>19686.820908649741</v>
      </c>
      <c r="Q25" s="4">
        <f>IF(A25&lt;('2. Inputs and results'!$C$21+1),Q24+P25," ")</f>
        <v>432257.44640907558</v>
      </c>
      <c r="R25" s="4">
        <f>IF(A25&lt;('2. Inputs and results'!$C$21+1),R24+G25+I25+H25+J25+T25-$V$6,NA())</f>
        <v>374897.18461794639</v>
      </c>
      <c r="S25" s="4">
        <f>IF(A25&lt;('2. Inputs and results'!$C$21+1),'2. Inputs and results'!$C$79*(R24)," ")</f>
        <v>6685.2187142449948</v>
      </c>
      <c r="T25" s="4">
        <f t="shared" si="1"/>
        <v>0</v>
      </c>
      <c r="U25" s="4">
        <f>IF(A25&lt;('2. Inputs and results'!$C$21+1),U24+((G25+I25+H25+J25-$V$6+T25)/((1+$P$2)^A25)),NA())</f>
        <v>165448.54485409745</v>
      </c>
      <c r="V25" s="4">
        <f>IF(A25&lt;('2. Inputs and results'!$C$21+1),V24+('2. Inputs and results'!$C$75*'2. Inputs and results'!$C$73)," ")</f>
        <v>50000</v>
      </c>
      <c r="W25" s="4">
        <f>IF(A25&lt;('2. Inputs and results'!$C$21+1),W24+C25+Y25-$V$6,NA())</f>
        <v>203611.57024222717</v>
      </c>
      <c r="X25" s="4">
        <f>IF(A25&lt;('2. Inputs and results'!$C$21+1),'2. Inputs and results'!$C$79*(W24)," ")</f>
        <v>3630.2314048445437</v>
      </c>
      <c r="Y25" s="4">
        <f t="shared" si="2"/>
        <v>0</v>
      </c>
      <c r="Z25" s="4">
        <f>IF(A25&lt;('2. Inputs and results'!$C$21+1),Z24+((C25-$V$6+Y25)/((1+$P$2)^A25)),NA())</f>
        <v>65892.201348008428</v>
      </c>
      <c r="AA25" s="4">
        <f>IF(A25&lt;('2. Inputs and results'!$C$21+1),AA24+G25+I25+H25+T25-$V$6," ")</f>
        <v>587397.18461794639</v>
      </c>
      <c r="AB25" s="20">
        <f>IF(A25&lt;('2. Inputs and results'!$C$21+1),AA25/L25,NA())</f>
        <v>2.7642220452609241</v>
      </c>
      <c r="AC25" s="29">
        <f>IF(A25&lt;('2. Inputs and results'!$C$21+1),AC24+C25+Y25-$V$6," ")</f>
        <v>416111.57024222717</v>
      </c>
      <c r="AD25" s="20">
        <f>IF(A25&lt;('2. Inputs and results'!$C$21+1),AC25/L25,NA())</f>
        <v>1.9581720952575397</v>
      </c>
      <c r="AE25">
        <f>IF(A25&lt;('2. Inputs and results'!$C$21+1),-'2. Inputs and results'!$C$121*A25," ")</f>
        <v>-920000</v>
      </c>
      <c r="AF25">
        <f>IF(A25&lt;('2. Inputs and results'!$C$21+1),AE25/1000,NA())</f>
        <v>-920</v>
      </c>
    </row>
    <row r="26" spans="1:32" x14ac:dyDescent="0.25">
      <c r="A26">
        <f t="shared" si="0"/>
        <v>21</v>
      </c>
      <c r="B26" t="str">
        <f>IF(A26&lt;('2. Inputs and results'!$C$21+1),A26," ")</f>
        <v xml:space="preserve"> </v>
      </c>
      <c r="C26" s="4" t="str">
        <f>IF(A26&lt;('2. Inputs and results'!$C$21+1),'2. Inputs and results'!$C$99+'2. Inputs and results'!$C$101," ")</f>
        <v xml:space="preserve"> </v>
      </c>
      <c r="D26" s="4" t="e">
        <f>IF(A26&lt;('2. Inputs and results'!$C$21+1),D25+C26,NA())</f>
        <v>#N/A</v>
      </c>
      <c r="E26" s="4" t="str">
        <f>IF(A26&lt;('2. Inputs and results'!$C$21+1),C26/((1+$P$2)^A26)," ")</f>
        <v xml:space="preserve"> </v>
      </c>
      <c r="F26" s="4" t="str">
        <f>IF(B26&lt;('2. Inputs and results'!$C$21+1),F25+E26," ")</f>
        <v xml:space="preserve"> </v>
      </c>
      <c r="G26" s="4" t="str">
        <f>IF(A26&lt;('2. Inputs and results'!$C$21+1),G25*(1+'2. Inputs and results'!$C$44)," ")</f>
        <v xml:space="preserve"> </v>
      </c>
      <c r="H26" s="4" t="str">
        <f>IF(A26&lt;('2. Inputs and results'!$C$21+1),H25*(1+'2. Inputs and results'!$C$56)," ")</f>
        <v xml:space="preserve"> </v>
      </c>
      <c r="I26" s="4" t="str">
        <f>IF(A26&lt;('2. Inputs and results'!$C$21+1),I25*(1+'2. Inputs and results'!$C$32)," ")</f>
        <v xml:space="preserve"> </v>
      </c>
      <c r="J26" s="4" t="str">
        <f>IF(A26&lt;('2. Inputs and results'!$C$21+1),J25*(1+'2. Inputs and results'!$C$66)," ")</f>
        <v xml:space="preserve"> </v>
      </c>
      <c r="K26" s="4" t="e">
        <f>IF(A26&lt;('2. Inputs and results'!$C$21+1),K25+(G26+I26+H26+J26),NA())</f>
        <v>#N/A</v>
      </c>
      <c r="L26" s="4" t="e">
        <f>IF(A26&lt;('2. Inputs and results'!$C$21+1),L25,NA())</f>
        <v>#N/A</v>
      </c>
      <c r="M26" s="4" t="str">
        <f>IF(A26&lt;('2. Inputs and results'!$C$21+1),'2. Inputs and results'!$C$75*'2. Inputs and results'!$C$73," ")</f>
        <v xml:space="preserve"> </v>
      </c>
      <c r="N26" s="4" t="str">
        <f>IF(A26&lt;('2. Inputs and results'!$C$21+1),M26/((1+$P$2)^A26)," ")</f>
        <v xml:space="preserve"> </v>
      </c>
      <c r="O26" s="4" t="str">
        <f>IF(A26&lt;('2. Inputs and results'!$C$21+1),'2. Inputs and results'!$C$73*'2. Inputs and results'!$C$75+O25," ")</f>
        <v xml:space="preserve"> </v>
      </c>
      <c r="P26" s="4" t="str">
        <f>IF(A26&lt;('2. Inputs and results'!$C$21+1),(G26+I26+H26+J26)/((1+$P$2)^A26)," ")</f>
        <v xml:space="preserve"> </v>
      </c>
      <c r="Q26" s="4" t="str">
        <f>IF(A26&lt;('2. Inputs and results'!$C$21+1),Q25+P26," ")</f>
        <v xml:space="preserve"> </v>
      </c>
      <c r="R26" s="4" t="e">
        <f>IF(A26&lt;('2. Inputs and results'!$C$21+1),R25+G26+I26+H26+J26+T26-$V$6,NA())</f>
        <v>#N/A</v>
      </c>
      <c r="S26" s="4" t="str">
        <f>IF(A26&lt;('2. Inputs and results'!$C$21+1),'2. Inputs and results'!$C$79*(R25)," ")</f>
        <v xml:space="preserve"> </v>
      </c>
      <c r="T26" s="4">
        <f t="shared" si="1"/>
        <v>0</v>
      </c>
      <c r="U26" s="4" t="e">
        <f>IF(A26&lt;('2. Inputs and results'!$C$21+1),U25+((G26+I26+H26+J26-$V$6+T26)/((1+$P$2)^A26)),NA())</f>
        <v>#N/A</v>
      </c>
      <c r="V26" s="4" t="str">
        <f>IF(A26&lt;('2. Inputs and results'!$C$21+1),V25+('2. Inputs and results'!$C$75*'2. Inputs and results'!$C$73)," ")</f>
        <v xml:space="preserve"> </v>
      </c>
      <c r="W26" s="4" t="e">
        <f>IF(A26&lt;('2. Inputs and results'!$C$21+1),W25+C26+Y26-$V$6,NA())</f>
        <v>#N/A</v>
      </c>
      <c r="X26" s="4" t="str">
        <f>IF(A26&lt;('2. Inputs and results'!$C$21+1),'2. Inputs and results'!$C$79*(W25)," ")</f>
        <v xml:space="preserve"> </v>
      </c>
      <c r="Y26" s="4">
        <f t="shared" si="2"/>
        <v>0</v>
      </c>
      <c r="Z26" s="4" t="e">
        <f>IF(A26&lt;('2. Inputs and results'!$C$21+1),Z25+((C26-$V$6+Y26)/((1+$P$2)^A26)),NA())</f>
        <v>#N/A</v>
      </c>
      <c r="AA26" s="4" t="str">
        <f>IF(A26&lt;('2. Inputs and results'!$C$21+1),AA25+G26+I26+H26+T26-$V$6," ")</f>
        <v xml:space="preserve"> </v>
      </c>
      <c r="AB26" s="20" t="e">
        <f>IF(A26&lt;('2. Inputs and results'!$C$21+1),AA26/L26,NA())</f>
        <v>#N/A</v>
      </c>
      <c r="AC26" s="29" t="str">
        <f>IF(A26&lt;('2. Inputs and results'!$C$21+1),AC25+C26+Y26-$V$6," ")</f>
        <v xml:space="preserve"> </v>
      </c>
      <c r="AD26" s="20" t="e">
        <f>IF(A26&lt;('2. Inputs and results'!$C$21+1),AC26/L26,NA())</f>
        <v>#N/A</v>
      </c>
      <c r="AE26" t="str">
        <f>IF(A26&lt;('2. Inputs and results'!$C$21+1),-'2. Inputs and results'!$C$121*A26," ")</f>
        <v xml:space="preserve"> </v>
      </c>
      <c r="AF26" t="e">
        <f>IF(A26&lt;('2. Inputs and results'!$C$21+1),AE26/1000,NA())</f>
        <v>#N/A</v>
      </c>
    </row>
    <row r="27" spans="1:32" x14ac:dyDescent="0.25">
      <c r="A27">
        <f t="shared" si="0"/>
        <v>22</v>
      </c>
      <c r="B27" t="str">
        <f>IF(A27&lt;('2. Inputs and results'!$C$21+1),A27," ")</f>
        <v xml:space="preserve"> </v>
      </c>
      <c r="C27" s="4" t="str">
        <f>IF(A27&lt;('2. Inputs and results'!$C$21+1),'2. Inputs and results'!$C$99+'2. Inputs and results'!$C$101," ")</f>
        <v xml:space="preserve"> </v>
      </c>
      <c r="D27" s="4" t="e">
        <f>IF(A27&lt;('2. Inputs and results'!$C$21+1),D26+C27,NA())</f>
        <v>#N/A</v>
      </c>
      <c r="E27" s="4" t="str">
        <f>IF(A27&lt;('2. Inputs and results'!$C$21+1),C27/((1+$P$2)^A27)," ")</f>
        <v xml:space="preserve"> </v>
      </c>
      <c r="F27" s="4" t="str">
        <f>IF(B27&lt;('2. Inputs and results'!$C$21+1),F26+E27," ")</f>
        <v xml:space="preserve"> </v>
      </c>
      <c r="G27" s="4" t="str">
        <f>IF(A27&lt;('2. Inputs and results'!$C$21+1),G26*(1+'2. Inputs and results'!$C$44)," ")</f>
        <v xml:space="preserve"> </v>
      </c>
      <c r="H27" s="4" t="str">
        <f>IF(A27&lt;('2. Inputs and results'!$C$21+1),H26*(1+'2. Inputs and results'!$C$56)," ")</f>
        <v xml:space="preserve"> </v>
      </c>
      <c r="I27" s="4" t="str">
        <f>IF(A27&lt;('2. Inputs and results'!$C$21+1),I26*(1+'2. Inputs and results'!$C$32)," ")</f>
        <v xml:space="preserve"> </v>
      </c>
      <c r="J27" s="4" t="str">
        <f>IF(A27&lt;('2. Inputs and results'!$C$21+1),J26*(1+'2. Inputs and results'!$C$66)," ")</f>
        <v xml:space="preserve"> </v>
      </c>
      <c r="K27" s="4" t="e">
        <f>IF(A27&lt;('2. Inputs and results'!$C$21+1),K26+(G27+I27+H27+J27),NA())</f>
        <v>#N/A</v>
      </c>
      <c r="L27" s="4" t="e">
        <f>IF(A27&lt;('2. Inputs and results'!$C$21+1),L26,NA())</f>
        <v>#N/A</v>
      </c>
      <c r="M27" s="4" t="str">
        <f>IF(A27&lt;('2. Inputs and results'!$C$21+1),'2. Inputs and results'!$C$75*'2. Inputs and results'!$C$73," ")</f>
        <v xml:space="preserve"> </v>
      </c>
      <c r="N27" s="4" t="str">
        <f>IF(A27&lt;('2. Inputs and results'!$C$21+1),M27/((1+$P$2)^A27)," ")</f>
        <v xml:space="preserve"> </v>
      </c>
      <c r="O27" s="4" t="str">
        <f>IF(A27&lt;('2. Inputs and results'!$C$21+1),'2. Inputs and results'!$C$73*'2. Inputs and results'!$C$75+O26," ")</f>
        <v xml:space="preserve"> </v>
      </c>
      <c r="P27" s="4" t="str">
        <f>IF(A27&lt;('2. Inputs and results'!$C$21+1),(G27+I27+H27+J27)/((1+$P$2)^A27)," ")</f>
        <v xml:space="preserve"> </v>
      </c>
      <c r="Q27" s="4" t="str">
        <f>IF(A27&lt;('2. Inputs and results'!$C$21+1),Q26+P27," ")</f>
        <v xml:space="preserve"> </v>
      </c>
      <c r="R27" s="4" t="e">
        <f>IF(A27&lt;('2. Inputs and results'!$C$21+1),R26+G27+I27+H27+J27+T27-$V$6,NA())</f>
        <v>#N/A</v>
      </c>
      <c r="S27" s="4" t="str">
        <f>IF(A27&lt;('2. Inputs and results'!$C$21+1),'2. Inputs and results'!$C$79*(R26)," ")</f>
        <v xml:space="preserve"> </v>
      </c>
      <c r="T27" s="4">
        <f t="shared" si="1"/>
        <v>0</v>
      </c>
      <c r="U27" s="4" t="e">
        <f>IF(A27&lt;('2. Inputs and results'!$C$21+1),U26+((G27+I27+H27+J27-$V$6+T27)/((1+$P$2)^A27)),NA())</f>
        <v>#N/A</v>
      </c>
      <c r="V27" s="4" t="str">
        <f>IF(A27&lt;('2. Inputs and results'!$C$21+1),V26+('2. Inputs and results'!$C$75*'2. Inputs and results'!$C$73)," ")</f>
        <v xml:space="preserve"> </v>
      </c>
      <c r="W27" s="4" t="e">
        <f>IF(A27&lt;('2. Inputs and results'!$C$21+1),W26+C27+Y27-$V$6,NA())</f>
        <v>#N/A</v>
      </c>
      <c r="X27" s="4" t="str">
        <f>IF(A27&lt;('2. Inputs and results'!$C$21+1),'2. Inputs and results'!$C$79*(W26)," ")</f>
        <v xml:space="preserve"> </v>
      </c>
      <c r="Y27" s="4">
        <f t="shared" si="2"/>
        <v>0</v>
      </c>
      <c r="Z27" s="4" t="e">
        <f>IF(A27&lt;('2. Inputs and results'!$C$21+1),Z26+((C27-$V$6+Y27)/((1+$P$2)^A27)),NA())</f>
        <v>#N/A</v>
      </c>
      <c r="AA27" s="4" t="str">
        <f>IF(A27&lt;('2. Inputs and results'!$C$21+1),AA26+G27+I27+H27+T27-$V$6," ")</f>
        <v xml:space="preserve"> </v>
      </c>
      <c r="AB27" s="20" t="e">
        <f>IF(A27&lt;('2. Inputs and results'!$C$21+1),AA27/L27,NA())</f>
        <v>#N/A</v>
      </c>
      <c r="AC27" s="29" t="str">
        <f>IF(A27&lt;('2. Inputs and results'!$C$21+1),AC26+C27+Y27-$V$6," ")</f>
        <v xml:space="preserve"> </v>
      </c>
      <c r="AD27" s="20" t="e">
        <f>IF(A27&lt;('2. Inputs and results'!$C$21+1),AC27/L27,NA())</f>
        <v>#N/A</v>
      </c>
      <c r="AE27" t="str">
        <f>IF(A27&lt;('2. Inputs and results'!$C$21+1),-'2. Inputs and results'!$C$121*A27," ")</f>
        <v xml:space="preserve"> </v>
      </c>
      <c r="AF27" t="e">
        <f>IF(A27&lt;('2. Inputs and results'!$C$21+1),AE27/1000,NA())</f>
        <v>#N/A</v>
      </c>
    </row>
    <row r="28" spans="1:32" x14ac:dyDescent="0.25">
      <c r="A28">
        <f t="shared" si="0"/>
        <v>23</v>
      </c>
      <c r="B28" t="str">
        <f>IF(A28&lt;('2. Inputs and results'!$C$21+1),A28," ")</f>
        <v xml:space="preserve"> </v>
      </c>
      <c r="C28" s="4" t="str">
        <f>IF(A28&lt;('2. Inputs and results'!$C$21+1),'2. Inputs and results'!$C$99+'2. Inputs and results'!$C$101," ")</f>
        <v xml:space="preserve"> </v>
      </c>
      <c r="D28" s="4" t="e">
        <f>IF(A28&lt;('2. Inputs and results'!$C$21+1),D27+C28,NA())</f>
        <v>#N/A</v>
      </c>
      <c r="E28" s="4" t="str">
        <f>IF(A28&lt;('2. Inputs and results'!$C$21+1),C28/((1+$P$2)^A28)," ")</f>
        <v xml:space="preserve"> </v>
      </c>
      <c r="F28" s="4" t="str">
        <f>IF(B28&lt;('2. Inputs and results'!$C$21+1),F27+E28," ")</f>
        <v xml:space="preserve"> </v>
      </c>
      <c r="G28" s="4" t="str">
        <f>IF(A28&lt;('2. Inputs and results'!$C$21+1),G27*(1+'2. Inputs and results'!$C$44)," ")</f>
        <v xml:space="preserve"> </v>
      </c>
      <c r="H28" s="4" t="str">
        <f>IF(A28&lt;('2. Inputs and results'!$C$21+1),H27*(1+'2. Inputs and results'!$C$56)," ")</f>
        <v xml:space="preserve"> </v>
      </c>
      <c r="I28" s="4" t="str">
        <f>IF(A28&lt;('2. Inputs and results'!$C$21+1),I27*(1+'2. Inputs and results'!$C$32)," ")</f>
        <v xml:space="preserve"> </v>
      </c>
      <c r="J28" s="4" t="str">
        <f>IF(A28&lt;('2. Inputs and results'!$C$21+1),J27*(1+'2. Inputs and results'!$C$66)," ")</f>
        <v xml:space="preserve"> </v>
      </c>
      <c r="K28" s="4" t="e">
        <f>IF(A28&lt;('2. Inputs and results'!$C$21+1),K27+(G28+I28+H28+J28),NA())</f>
        <v>#N/A</v>
      </c>
      <c r="L28" s="4" t="e">
        <f>IF(A28&lt;('2. Inputs and results'!$C$21+1),L27,NA())</f>
        <v>#N/A</v>
      </c>
      <c r="M28" s="4" t="str">
        <f>IF(A28&lt;('2. Inputs and results'!$C$21+1),'2. Inputs and results'!$C$75*'2. Inputs and results'!$C$73," ")</f>
        <v xml:space="preserve"> </v>
      </c>
      <c r="N28" s="4" t="str">
        <f>IF(A28&lt;('2. Inputs and results'!$C$21+1),M28/((1+$P$2)^A28)," ")</f>
        <v xml:space="preserve"> </v>
      </c>
      <c r="O28" s="4" t="str">
        <f>IF(A28&lt;('2. Inputs and results'!$C$21+1),'2. Inputs and results'!$C$73*'2. Inputs and results'!$C$75+O27," ")</f>
        <v xml:space="preserve"> </v>
      </c>
      <c r="P28" s="4" t="str">
        <f>IF(A28&lt;('2. Inputs and results'!$C$21+1),(G28+I28+H28+J28)/((1+$P$2)^A28)," ")</f>
        <v xml:space="preserve"> </v>
      </c>
      <c r="Q28" s="4" t="str">
        <f>IF(A28&lt;('2. Inputs and results'!$C$21+1),Q27+P28," ")</f>
        <v xml:space="preserve"> </v>
      </c>
      <c r="R28" s="4" t="e">
        <f>IF(A28&lt;('2. Inputs and results'!$C$21+1),R27+G28+I28+H28+J28+T28-$V$6,NA())</f>
        <v>#N/A</v>
      </c>
      <c r="S28" s="4" t="str">
        <f>IF(A28&lt;('2. Inputs and results'!$C$21+1),'2. Inputs and results'!$C$79*(R27)," ")</f>
        <v xml:space="preserve"> </v>
      </c>
      <c r="T28" s="4">
        <f t="shared" si="1"/>
        <v>0</v>
      </c>
      <c r="U28" s="4" t="e">
        <f>IF(A28&lt;('2. Inputs and results'!$C$21+1),U27+((G28+I28+H28+J28-$V$6+T28)/((1+$P$2)^A28)),NA())</f>
        <v>#N/A</v>
      </c>
      <c r="V28" s="4" t="str">
        <f>IF(A28&lt;('2. Inputs and results'!$C$21+1),V27+('2. Inputs and results'!$C$75*'2. Inputs and results'!$C$73)," ")</f>
        <v xml:space="preserve"> </v>
      </c>
      <c r="W28" s="4" t="e">
        <f>IF(A28&lt;('2. Inputs and results'!$C$21+1),W27+C28+Y28-$V$6,NA())</f>
        <v>#N/A</v>
      </c>
      <c r="X28" s="4" t="str">
        <f>IF(A28&lt;('2. Inputs and results'!$C$21+1),'2. Inputs and results'!$C$79*(W27)," ")</f>
        <v xml:space="preserve"> </v>
      </c>
      <c r="Y28" s="4">
        <f t="shared" si="2"/>
        <v>0</v>
      </c>
      <c r="Z28" s="4" t="e">
        <f>IF(A28&lt;('2. Inputs and results'!$C$21+1),Z27+((C28-$V$6+Y28)/((1+$P$2)^A28)),NA())</f>
        <v>#N/A</v>
      </c>
      <c r="AA28" s="4" t="str">
        <f>IF(A28&lt;('2. Inputs and results'!$C$21+1),AA27+G28+I28+H28+T28-$V$6," ")</f>
        <v xml:space="preserve"> </v>
      </c>
      <c r="AB28" s="20" t="e">
        <f>IF(A28&lt;('2. Inputs and results'!$C$21+1),AA28/L28,NA())</f>
        <v>#N/A</v>
      </c>
      <c r="AC28" s="29" t="str">
        <f>IF(A28&lt;('2. Inputs and results'!$C$21+1),AC27+C28+Y28-$V$6," ")</f>
        <v xml:space="preserve"> </v>
      </c>
      <c r="AD28" s="20" t="e">
        <f>IF(A28&lt;('2. Inputs and results'!$C$21+1),AC28/L28,NA())</f>
        <v>#N/A</v>
      </c>
      <c r="AE28" t="str">
        <f>IF(A28&lt;('2. Inputs and results'!$C$21+1),-'2. Inputs and results'!$C$121*A28," ")</f>
        <v xml:space="preserve"> </v>
      </c>
      <c r="AF28" t="e">
        <f>IF(A28&lt;('2. Inputs and results'!$C$21+1),AE28/1000,NA())</f>
        <v>#N/A</v>
      </c>
    </row>
    <row r="29" spans="1:32" x14ac:dyDescent="0.25">
      <c r="A29">
        <f t="shared" si="0"/>
        <v>24</v>
      </c>
      <c r="B29" t="str">
        <f>IF(A29&lt;('2. Inputs and results'!$C$21+1),A29," ")</f>
        <v xml:space="preserve"> </v>
      </c>
      <c r="C29" s="4" t="str">
        <f>IF(A29&lt;('2. Inputs and results'!$C$21+1),'2. Inputs and results'!$C$99+'2. Inputs and results'!$C$101," ")</f>
        <v xml:space="preserve"> </v>
      </c>
      <c r="D29" s="4" t="e">
        <f>IF(A29&lt;('2. Inputs and results'!$C$21+1),D28+C29,NA())</f>
        <v>#N/A</v>
      </c>
      <c r="E29" s="4" t="str">
        <f>IF(A29&lt;('2. Inputs and results'!$C$21+1),C29/((1+$P$2)^A29)," ")</f>
        <v xml:space="preserve"> </v>
      </c>
      <c r="F29" s="4" t="str">
        <f>IF(B29&lt;('2. Inputs and results'!$C$21+1),F28+E29," ")</f>
        <v xml:space="preserve"> </v>
      </c>
      <c r="G29" s="4" t="str">
        <f>IF(A29&lt;('2. Inputs and results'!$C$21+1),G28*(1+'2. Inputs and results'!$C$44)," ")</f>
        <v xml:space="preserve"> </v>
      </c>
      <c r="H29" s="4" t="str">
        <f>IF(A29&lt;('2. Inputs and results'!$C$21+1),H28*(1+'2. Inputs and results'!$C$56)," ")</f>
        <v xml:space="preserve"> </v>
      </c>
      <c r="I29" s="4" t="str">
        <f>IF(A29&lt;('2. Inputs and results'!$C$21+1),I28*(1+'2. Inputs and results'!$C$32)," ")</f>
        <v xml:space="preserve"> </v>
      </c>
      <c r="J29" s="4" t="str">
        <f>IF(A29&lt;('2. Inputs and results'!$C$21+1),J28*(1+'2. Inputs and results'!$C$66)," ")</f>
        <v xml:space="preserve"> </v>
      </c>
      <c r="K29" s="4" t="e">
        <f>IF(A29&lt;('2. Inputs and results'!$C$21+1),K28+(G29+I29+H29+J29),NA())</f>
        <v>#N/A</v>
      </c>
      <c r="L29" s="4" t="e">
        <f>IF(A29&lt;('2. Inputs and results'!$C$21+1),L28,NA())</f>
        <v>#N/A</v>
      </c>
      <c r="M29" s="4" t="str">
        <f>IF(A29&lt;('2. Inputs and results'!$C$21+1),'2. Inputs and results'!$C$75*'2. Inputs and results'!$C$73," ")</f>
        <v xml:space="preserve"> </v>
      </c>
      <c r="N29" s="4" t="str">
        <f>IF(A29&lt;('2. Inputs and results'!$C$21+1),M29/((1+$P$2)^A29)," ")</f>
        <v xml:space="preserve"> </v>
      </c>
      <c r="O29" s="4" t="str">
        <f>IF(A29&lt;('2. Inputs and results'!$C$21+1),'2. Inputs and results'!$C$73*'2. Inputs and results'!$C$75+O28," ")</f>
        <v xml:space="preserve"> </v>
      </c>
      <c r="P29" s="4" t="str">
        <f>IF(A29&lt;('2. Inputs and results'!$C$21+1),(G29+I29+H29+J29)/((1+$P$2)^A29)," ")</f>
        <v xml:space="preserve"> </v>
      </c>
      <c r="Q29" s="4" t="str">
        <f>IF(A29&lt;('2. Inputs and results'!$C$21+1),Q28+P29," ")</f>
        <v xml:space="preserve"> </v>
      </c>
      <c r="R29" s="4" t="e">
        <f>IF(A29&lt;('2. Inputs and results'!$C$21+1),R28+G29+I29+H29+J29+T29-$V$6,NA())</f>
        <v>#N/A</v>
      </c>
      <c r="S29" s="4" t="str">
        <f>IF(A29&lt;('2. Inputs and results'!$C$21+1),'2. Inputs and results'!$C$79*(R28)," ")</f>
        <v xml:space="preserve"> </v>
      </c>
      <c r="T29" s="4">
        <f t="shared" si="1"/>
        <v>0</v>
      </c>
      <c r="U29" s="4" t="e">
        <f>IF(A29&lt;('2. Inputs and results'!$C$21+1),U28+((G29+I29+H29+J29-$V$6+T29)/((1+$P$2)^A29)),NA())</f>
        <v>#N/A</v>
      </c>
      <c r="V29" s="4" t="str">
        <f>IF(A29&lt;('2. Inputs and results'!$C$21+1),V28+('2. Inputs and results'!$C$75*'2. Inputs and results'!$C$73)," ")</f>
        <v xml:space="preserve"> </v>
      </c>
      <c r="W29" s="4" t="e">
        <f>IF(A29&lt;('2. Inputs and results'!$C$21+1),W28+C29+Y29-$V$6,NA())</f>
        <v>#N/A</v>
      </c>
      <c r="X29" s="4" t="str">
        <f>IF(A29&lt;('2. Inputs and results'!$C$21+1),'2. Inputs and results'!$C$79*(W28)," ")</f>
        <v xml:space="preserve"> </v>
      </c>
      <c r="Y29" s="4">
        <f t="shared" si="2"/>
        <v>0</v>
      </c>
      <c r="Z29" s="4" t="e">
        <f>IF(A29&lt;('2. Inputs and results'!$C$21+1),Z28+((C29-$V$6+Y29)/((1+$P$2)^A29)),NA())</f>
        <v>#N/A</v>
      </c>
      <c r="AA29" s="4" t="str">
        <f>IF(A29&lt;('2. Inputs and results'!$C$21+1),AA28+G29+I29+H29+T29-$V$6," ")</f>
        <v xml:space="preserve"> </v>
      </c>
      <c r="AB29" s="20" t="e">
        <f>IF(A29&lt;('2. Inputs and results'!$C$21+1),AA29/L29,NA())</f>
        <v>#N/A</v>
      </c>
      <c r="AC29" s="29" t="str">
        <f>IF(A29&lt;('2. Inputs and results'!$C$21+1),AC28+C29+Y29-$V$6," ")</f>
        <v xml:space="preserve"> </v>
      </c>
      <c r="AD29" s="20" t="e">
        <f>IF(A29&lt;('2. Inputs and results'!$C$21+1),AC29/L29,NA())</f>
        <v>#N/A</v>
      </c>
      <c r="AE29" t="str">
        <f>IF(A29&lt;('2. Inputs and results'!$C$21+1),-'2. Inputs and results'!$C$121*A29," ")</f>
        <v xml:space="preserve"> </v>
      </c>
      <c r="AF29" t="e">
        <f>IF(A29&lt;('2. Inputs and results'!$C$21+1),AE29/1000,NA())</f>
        <v>#N/A</v>
      </c>
    </row>
    <row r="30" spans="1:32" x14ac:dyDescent="0.25">
      <c r="A30">
        <f t="shared" si="0"/>
        <v>25</v>
      </c>
      <c r="B30" t="str">
        <f>IF(A30&lt;('2. Inputs and results'!$C$21+1),A30," ")</f>
        <v xml:space="preserve"> </v>
      </c>
      <c r="C30" s="4" t="str">
        <f>IF(A30&lt;('2. Inputs and results'!$C$21+1),'2. Inputs and results'!$C$99+'2. Inputs and results'!$C$101," ")</f>
        <v xml:space="preserve"> </v>
      </c>
      <c r="D30" s="4" t="e">
        <f>IF(A30&lt;('2. Inputs and results'!$C$21+1),D29+C30,NA())</f>
        <v>#N/A</v>
      </c>
      <c r="E30" s="4" t="str">
        <f>IF(A30&lt;('2. Inputs and results'!$C$21+1),C30/((1+$P$2)^A30)," ")</f>
        <v xml:space="preserve"> </v>
      </c>
      <c r="F30" s="4" t="str">
        <f>IF(B30&lt;('2. Inputs and results'!$C$21+1),F29+E30," ")</f>
        <v xml:space="preserve"> </v>
      </c>
      <c r="G30" s="4" t="str">
        <f>IF(A30&lt;('2. Inputs and results'!$C$21+1),G29*(1+'2. Inputs and results'!$C$44)," ")</f>
        <v xml:space="preserve"> </v>
      </c>
      <c r="H30" s="4" t="str">
        <f>IF(A30&lt;('2. Inputs and results'!$C$21+1),H29*(1+'2. Inputs and results'!$C$56)," ")</f>
        <v xml:space="preserve"> </v>
      </c>
      <c r="I30" s="4" t="str">
        <f>IF(A30&lt;('2. Inputs and results'!$C$21+1),I29*(1+'2. Inputs and results'!$C$32)," ")</f>
        <v xml:space="preserve"> </v>
      </c>
      <c r="J30" s="4" t="str">
        <f>IF(A30&lt;('2. Inputs and results'!$C$21+1),J29*(1+'2. Inputs and results'!$C$66)," ")</f>
        <v xml:space="preserve"> </v>
      </c>
      <c r="K30" s="4" t="e">
        <f>IF(A30&lt;('2. Inputs and results'!$C$21+1),K29+(G30+I30+H30+J30),NA())</f>
        <v>#N/A</v>
      </c>
      <c r="L30" s="4" t="e">
        <f>IF(A30&lt;('2. Inputs and results'!$C$21+1),L29,NA())</f>
        <v>#N/A</v>
      </c>
      <c r="M30" s="4" t="str">
        <f>IF(A30&lt;('2. Inputs and results'!$C$21+1),'2. Inputs and results'!$C$75*'2. Inputs and results'!$C$73," ")</f>
        <v xml:space="preserve"> </v>
      </c>
      <c r="N30" s="4" t="str">
        <f>IF(A30&lt;('2. Inputs and results'!$C$21+1),M30/((1+$P$2)^A30)," ")</f>
        <v xml:space="preserve"> </v>
      </c>
      <c r="O30" s="4" t="str">
        <f>IF(A30&lt;('2. Inputs and results'!$C$21+1),'2. Inputs and results'!$C$73*'2. Inputs and results'!$C$75+O29," ")</f>
        <v xml:space="preserve"> </v>
      </c>
      <c r="P30" s="4" t="str">
        <f>IF(A30&lt;('2. Inputs and results'!$C$21+1),(G30+I30+H30+J30)/((1+$P$2)^A30)," ")</f>
        <v xml:space="preserve"> </v>
      </c>
      <c r="Q30" s="4" t="str">
        <f>IF(A30&lt;('2. Inputs and results'!$C$21+1),Q29+P30," ")</f>
        <v xml:space="preserve"> </v>
      </c>
      <c r="R30" s="4" t="e">
        <f>IF(A30&lt;('2. Inputs and results'!$C$21+1),R29+G30+I30+H30+J30+T30-$V$6,NA())</f>
        <v>#N/A</v>
      </c>
      <c r="S30" s="4" t="str">
        <f>IF(A30&lt;('2. Inputs and results'!$C$21+1),'2. Inputs and results'!$C$79*(R29)," ")</f>
        <v xml:space="preserve"> </v>
      </c>
      <c r="T30" s="4">
        <f t="shared" si="1"/>
        <v>0</v>
      </c>
      <c r="U30" s="4" t="e">
        <f>IF(A30&lt;('2. Inputs and results'!$C$21+1),U29+((G30+I30+H30+J30-$V$6+T30)/((1+$P$2)^A30)),NA())</f>
        <v>#N/A</v>
      </c>
      <c r="V30" s="4" t="str">
        <f>IF(A30&lt;('2. Inputs and results'!$C$21+1),V29+('2. Inputs and results'!$C$75*'2. Inputs and results'!$C$73)," ")</f>
        <v xml:space="preserve"> </v>
      </c>
      <c r="W30" s="4" t="e">
        <f>IF(A30&lt;('2. Inputs and results'!$C$21+1),W29+C30+Y30-$V$6,NA())</f>
        <v>#N/A</v>
      </c>
      <c r="X30" s="4" t="str">
        <f>IF(A30&lt;('2. Inputs and results'!$C$21+1),'2. Inputs and results'!$C$79*(W29)," ")</f>
        <v xml:space="preserve"> </v>
      </c>
      <c r="Y30" s="4">
        <f t="shared" si="2"/>
        <v>0</v>
      </c>
      <c r="Z30" s="4" t="e">
        <f>IF(A30&lt;('2. Inputs and results'!$C$21+1),Z29+((C30-$V$6+Y30)/((1+$P$2)^A30)),NA())</f>
        <v>#N/A</v>
      </c>
      <c r="AA30" s="4" t="str">
        <f>IF(A30&lt;('2. Inputs and results'!$C$21+1),AA29+G30+I30+H30+T30-$V$6," ")</f>
        <v xml:space="preserve"> </v>
      </c>
      <c r="AB30" s="20" t="e">
        <f>IF(A30&lt;('2. Inputs and results'!$C$21+1),AA30/L30,NA())</f>
        <v>#N/A</v>
      </c>
      <c r="AC30" s="29" t="str">
        <f>IF(A30&lt;('2. Inputs and results'!$C$21+1),AC29+C30+Y30-$V$6," ")</f>
        <v xml:space="preserve"> </v>
      </c>
      <c r="AD30" s="20" t="e">
        <f>IF(A30&lt;('2. Inputs and results'!$C$21+1),AC30/L30,NA())</f>
        <v>#N/A</v>
      </c>
      <c r="AE30" t="str">
        <f>IF(A30&lt;('2. Inputs and results'!$C$21+1),-'2. Inputs and results'!$C$121*A30," ")</f>
        <v xml:space="preserve"> </v>
      </c>
      <c r="AF30" t="e">
        <f>IF(A30&lt;('2. Inputs and results'!$C$21+1),AE30/1000,NA())</f>
        <v>#N/A</v>
      </c>
    </row>
    <row r="31" spans="1:32" x14ac:dyDescent="0.25">
      <c r="A31">
        <f t="shared" si="0"/>
        <v>26</v>
      </c>
      <c r="B31" t="str">
        <f>IF(A31&lt;('2. Inputs and results'!$C$21+1),A31," ")</f>
        <v xml:space="preserve"> </v>
      </c>
      <c r="C31" s="4" t="str">
        <f>IF(A31&lt;('2. Inputs and results'!$C$21+1),'2. Inputs and results'!$C$99+'2. Inputs and results'!$C$101," ")</f>
        <v xml:space="preserve"> </v>
      </c>
      <c r="D31" s="4" t="e">
        <f>IF(A31&lt;('2. Inputs and results'!$C$21+1),D30+C31,NA())</f>
        <v>#N/A</v>
      </c>
      <c r="E31" s="4" t="str">
        <f>IF(A31&lt;('2. Inputs and results'!$C$21+1),C31/((1+$P$2)^A31)," ")</f>
        <v xml:space="preserve"> </v>
      </c>
      <c r="F31" s="4" t="str">
        <f>IF(B31&lt;('2. Inputs and results'!$C$21+1),F30+E31," ")</f>
        <v xml:space="preserve"> </v>
      </c>
      <c r="G31" s="4" t="str">
        <f>IF(A31&lt;('2. Inputs and results'!$C$21+1),G30*(1+'2. Inputs and results'!$C$44)," ")</f>
        <v xml:space="preserve"> </v>
      </c>
      <c r="H31" s="4" t="str">
        <f>IF(A31&lt;('2. Inputs and results'!$C$21+1),H30*(1+'2. Inputs and results'!$C$56)," ")</f>
        <v xml:space="preserve"> </v>
      </c>
      <c r="I31" s="4" t="str">
        <f>IF(A31&lt;('2. Inputs and results'!$C$21+1),I30*(1+'2. Inputs and results'!$C$32)," ")</f>
        <v xml:space="preserve"> </v>
      </c>
      <c r="J31" s="4" t="str">
        <f>IF(A31&lt;('2. Inputs and results'!$C$21+1),J30*(1+'2. Inputs and results'!$C$66)," ")</f>
        <v xml:space="preserve"> </v>
      </c>
      <c r="K31" s="4" t="e">
        <f>IF(A31&lt;('2. Inputs and results'!$C$21+1),K30+(G31+I31+H31+J31),NA())</f>
        <v>#N/A</v>
      </c>
      <c r="L31" s="4" t="e">
        <f>IF(A31&lt;('2. Inputs and results'!$C$21+1),L30,NA())</f>
        <v>#N/A</v>
      </c>
      <c r="M31" s="4" t="str">
        <f>IF(A31&lt;('2. Inputs and results'!$C$21+1),'2. Inputs and results'!$C$75*'2. Inputs and results'!$C$73," ")</f>
        <v xml:space="preserve"> </v>
      </c>
      <c r="N31" s="4" t="str">
        <f>IF(A31&lt;('2. Inputs and results'!$C$21+1),M31/((1+$P$2)^A31)," ")</f>
        <v xml:space="preserve"> </v>
      </c>
      <c r="O31" s="4" t="str">
        <f>IF(A31&lt;('2. Inputs and results'!$C$21+1),'2. Inputs and results'!$C$73*'2. Inputs and results'!$C$75+O30," ")</f>
        <v xml:space="preserve"> </v>
      </c>
      <c r="P31" s="4" t="str">
        <f>IF(A31&lt;('2. Inputs and results'!$C$21+1),(G31+I31+H31+J31)/((1+$P$2)^A31)," ")</f>
        <v xml:space="preserve"> </v>
      </c>
      <c r="Q31" s="4" t="str">
        <f>IF(A31&lt;('2. Inputs and results'!$C$21+1),Q30+P31," ")</f>
        <v xml:space="preserve"> </v>
      </c>
      <c r="R31" s="4" t="e">
        <f>IF(A31&lt;('2. Inputs and results'!$C$21+1),R30+G31+I31+H31+J31+T31-$V$6,NA())</f>
        <v>#N/A</v>
      </c>
      <c r="S31" s="4" t="str">
        <f>IF(A31&lt;('2. Inputs and results'!$C$21+1),'2. Inputs and results'!$C$79*(R30)," ")</f>
        <v xml:space="preserve"> </v>
      </c>
      <c r="T31" s="4">
        <f t="shared" si="1"/>
        <v>0</v>
      </c>
      <c r="U31" s="4" t="e">
        <f>IF(A31&lt;('2. Inputs and results'!$C$21+1),U30+((G31+I31+H31+J31-$V$6+T31)/((1+$P$2)^A31)),NA())</f>
        <v>#N/A</v>
      </c>
      <c r="V31" s="4" t="str">
        <f>IF(A31&lt;('2. Inputs and results'!$C$21+1),V30+('2. Inputs and results'!$C$75*'2. Inputs and results'!$C$73)," ")</f>
        <v xml:space="preserve"> </v>
      </c>
      <c r="W31" s="4" t="e">
        <f>IF(A31&lt;('2. Inputs and results'!$C$21+1),W30+C31+Y31-$V$6,NA())</f>
        <v>#N/A</v>
      </c>
      <c r="X31" s="4" t="str">
        <f>IF(A31&lt;('2. Inputs and results'!$C$21+1),'2. Inputs and results'!$C$79*(W30)," ")</f>
        <v xml:space="preserve"> </v>
      </c>
      <c r="Y31" s="4">
        <f t="shared" si="2"/>
        <v>0</v>
      </c>
      <c r="Z31" s="4" t="e">
        <f>IF(A31&lt;('2. Inputs and results'!$C$21+1),Z30+((C31-$V$6+Y31)/((1+$P$2)^A31)),NA())</f>
        <v>#N/A</v>
      </c>
      <c r="AA31" s="4" t="str">
        <f>IF(A31&lt;('2. Inputs and results'!$C$21+1),AA30+G31+I31+H31+T31-$V$6," ")</f>
        <v xml:space="preserve"> </v>
      </c>
      <c r="AB31" s="20" t="e">
        <f>IF(A31&lt;('2. Inputs and results'!$C$21+1),AA31/L31,NA())</f>
        <v>#N/A</v>
      </c>
      <c r="AC31" s="29" t="str">
        <f>IF(A31&lt;('2. Inputs and results'!$C$21+1),AC30+C31+Y31-$V$6," ")</f>
        <v xml:space="preserve"> </v>
      </c>
      <c r="AD31" s="20" t="e">
        <f>IF(A31&lt;('2. Inputs and results'!$C$21+1),AC31/L31,NA())</f>
        <v>#N/A</v>
      </c>
      <c r="AE31" t="str">
        <f>IF(A31&lt;('2. Inputs and results'!$C$21+1),-'2. Inputs and results'!$C$121*A31," ")</f>
        <v xml:space="preserve"> </v>
      </c>
      <c r="AF31" t="e">
        <f>IF(A31&lt;('2. Inputs and results'!$C$21+1),AE31/1000,NA())</f>
        <v>#N/A</v>
      </c>
    </row>
    <row r="32" spans="1:32" x14ac:dyDescent="0.25">
      <c r="A32">
        <f t="shared" si="0"/>
        <v>27</v>
      </c>
      <c r="B32" t="str">
        <f>IF(A32&lt;('2. Inputs and results'!$C$21+1),A32," ")</f>
        <v xml:space="preserve"> </v>
      </c>
      <c r="C32" s="4" t="str">
        <f>IF(A32&lt;('2. Inputs and results'!$C$21+1),'2. Inputs and results'!$C$99+'2. Inputs and results'!$C$101," ")</f>
        <v xml:space="preserve"> </v>
      </c>
      <c r="D32" s="4" t="e">
        <f>IF(A32&lt;('2. Inputs and results'!$C$21+1),D31+C32,NA())</f>
        <v>#N/A</v>
      </c>
      <c r="E32" s="4" t="str">
        <f>IF(A32&lt;('2. Inputs and results'!$C$21+1),C32/((1+$P$2)^A32)," ")</f>
        <v xml:space="preserve"> </v>
      </c>
      <c r="F32" s="4" t="str">
        <f>IF(B32&lt;('2. Inputs and results'!$C$21+1),F31+E32," ")</f>
        <v xml:space="preserve"> </v>
      </c>
      <c r="G32" s="4" t="str">
        <f>IF(A32&lt;('2. Inputs and results'!$C$21+1),G31*(1+'2. Inputs and results'!$C$44)," ")</f>
        <v xml:space="preserve"> </v>
      </c>
      <c r="H32" s="4" t="str">
        <f>IF(A32&lt;('2. Inputs and results'!$C$21+1),H31*(1+'2. Inputs and results'!$C$56)," ")</f>
        <v xml:space="preserve"> </v>
      </c>
      <c r="I32" s="4" t="str">
        <f>IF(A32&lt;('2. Inputs and results'!$C$21+1),I31*(1+'2. Inputs and results'!$C$32)," ")</f>
        <v xml:space="preserve"> </v>
      </c>
      <c r="J32" s="4" t="str">
        <f>IF(A32&lt;('2. Inputs and results'!$C$21+1),J31*(1+'2. Inputs and results'!$C$66)," ")</f>
        <v xml:space="preserve"> </v>
      </c>
      <c r="K32" s="4" t="e">
        <f>IF(A32&lt;('2. Inputs and results'!$C$21+1),K31+(G32+I32+H32+J32),NA())</f>
        <v>#N/A</v>
      </c>
      <c r="L32" s="4" t="e">
        <f>IF(A32&lt;('2. Inputs and results'!$C$21+1),L31,NA())</f>
        <v>#N/A</v>
      </c>
      <c r="M32" s="4" t="str">
        <f>IF(A32&lt;('2. Inputs and results'!$C$21+1),'2. Inputs and results'!$C$75*'2. Inputs and results'!$C$73," ")</f>
        <v xml:space="preserve"> </v>
      </c>
      <c r="N32" s="4" t="str">
        <f>IF(A32&lt;('2. Inputs and results'!$C$21+1),M32/((1+$P$2)^A32)," ")</f>
        <v xml:space="preserve"> </v>
      </c>
      <c r="O32" s="4" t="str">
        <f>IF(A32&lt;('2. Inputs and results'!$C$21+1),'2. Inputs and results'!$C$73*'2. Inputs and results'!$C$75+O31," ")</f>
        <v xml:space="preserve"> </v>
      </c>
      <c r="P32" s="4" t="str">
        <f>IF(A32&lt;('2. Inputs and results'!$C$21+1),(G32+I32+H32+J32)/((1+$P$2)^A32)," ")</f>
        <v xml:space="preserve"> </v>
      </c>
      <c r="Q32" s="4" t="str">
        <f>IF(A32&lt;('2. Inputs and results'!$C$21+1),Q31+P32," ")</f>
        <v xml:space="preserve"> </v>
      </c>
      <c r="R32" s="4" t="e">
        <f>IF(A32&lt;('2. Inputs and results'!$C$21+1),R31+G32+I32+H32+J32+T32-$V$6,NA())</f>
        <v>#N/A</v>
      </c>
      <c r="S32" s="4" t="str">
        <f>IF(A32&lt;('2. Inputs and results'!$C$21+1),'2. Inputs and results'!$C$79*(R31)," ")</f>
        <v xml:space="preserve"> </v>
      </c>
      <c r="T32" s="4">
        <f t="shared" si="1"/>
        <v>0</v>
      </c>
      <c r="U32" s="4" t="e">
        <f>IF(A32&lt;('2. Inputs and results'!$C$21+1),U31+((G32+I32+H32+J32-$V$6+T32)/((1+$P$2)^A32)),NA())</f>
        <v>#N/A</v>
      </c>
      <c r="V32" s="4" t="str">
        <f>IF(A32&lt;('2. Inputs and results'!$C$21+1),V31+('2. Inputs and results'!$C$75*'2. Inputs and results'!$C$73)," ")</f>
        <v xml:space="preserve"> </v>
      </c>
      <c r="W32" s="4" t="e">
        <f>IF(A32&lt;('2. Inputs and results'!$C$21+1),W31+C32+Y32-$V$6,NA())</f>
        <v>#N/A</v>
      </c>
      <c r="X32" s="4" t="str">
        <f>IF(A32&lt;('2. Inputs and results'!$C$21+1),'2. Inputs and results'!$C$79*(W31)," ")</f>
        <v xml:space="preserve"> </v>
      </c>
      <c r="Y32" s="4">
        <f t="shared" si="2"/>
        <v>0</v>
      </c>
      <c r="Z32" s="4" t="e">
        <f>IF(A32&lt;('2. Inputs and results'!$C$21+1),Z31+((C32-$V$6+Y32)/((1+$P$2)^A32)),NA())</f>
        <v>#N/A</v>
      </c>
      <c r="AA32" s="4" t="str">
        <f>IF(A32&lt;('2. Inputs and results'!$C$21+1),AA31+G32+I32+H32+T32-$V$6," ")</f>
        <v xml:space="preserve"> </v>
      </c>
      <c r="AB32" s="20" t="e">
        <f>IF(A32&lt;('2. Inputs and results'!$C$21+1),AA32/L32,NA())</f>
        <v>#N/A</v>
      </c>
      <c r="AC32" s="29" t="str">
        <f>IF(A32&lt;('2. Inputs and results'!$C$21+1),AC31+C32+Y32-$V$6," ")</f>
        <v xml:space="preserve"> </v>
      </c>
      <c r="AD32" s="20" t="e">
        <f>IF(A32&lt;('2. Inputs and results'!$C$21+1),AC32/L32,NA())</f>
        <v>#N/A</v>
      </c>
      <c r="AE32" t="str">
        <f>IF(A32&lt;('2. Inputs and results'!$C$21+1),-'2. Inputs and results'!$C$121*A32," ")</f>
        <v xml:space="preserve"> </v>
      </c>
      <c r="AF32" t="e">
        <f>IF(A32&lt;('2. Inputs and results'!$C$21+1),AE32/1000,NA())</f>
        <v>#N/A</v>
      </c>
    </row>
    <row r="33" spans="1:32" x14ac:dyDescent="0.25">
      <c r="A33">
        <f t="shared" si="0"/>
        <v>28</v>
      </c>
      <c r="B33" t="str">
        <f>IF(A33&lt;('2. Inputs and results'!$C$21+1),A33," ")</f>
        <v xml:space="preserve"> </v>
      </c>
      <c r="C33" s="4" t="str">
        <f>IF(A33&lt;('2. Inputs and results'!$C$21+1),'2. Inputs and results'!$C$99+'2. Inputs and results'!$C$101," ")</f>
        <v xml:space="preserve"> </v>
      </c>
      <c r="D33" s="4" t="e">
        <f>IF(A33&lt;('2. Inputs and results'!$C$21+1),D32+C33,NA())</f>
        <v>#N/A</v>
      </c>
      <c r="E33" s="4" t="str">
        <f>IF(A33&lt;('2. Inputs and results'!$C$21+1),C33/((1+$P$2)^A33)," ")</f>
        <v xml:space="preserve"> </v>
      </c>
      <c r="F33" s="4" t="str">
        <f>IF(B33&lt;('2. Inputs and results'!$C$21+1),F32+E33," ")</f>
        <v xml:space="preserve"> </v>
      </c>
      <c r="G33" s="4" t="str">
        <f>IF(A33&lt;('2. Inputs and results'!$C$21+1),G32*(1+'2. Inputs and results'!$C$44)," ")</f>
        <v xml:space="preserve"> </v>
      </c>
      <c r="H33" s="4" t="str">
        <f>IF(A33&lt;('2. Inputs and results'!$C$21+1),H32*(1+'2. Inputs and results'!$C$56)," ")</f>
        <v xml:space="preserve"> </v>
      </c>
      <c r="I33" s="4" t="str">
        <f>IF(A33&lt;('2. Inputs and results'!$C$21+1),I32*(1+'2. Inputs and results'!$C$32)," ")</f>
        <v xml:space="preserve"> </v>
      </c>
      <c r="J33" s="4" t="str">
        <f>IF(A33&lt;('2. Inputs and results'!$C$21+1),J32*(1+'2. Inputs and results'!$C$66)," ")</f>
        <v xml:space="preserve"> </v>
      </c>
      <c r="K33" s="4" t="e">
        <f>IF(A33&lt;('2. Inputs and results'!$C$21+1),K32+(G33+I33+H33+J33),NA())</f>
        <v>#N/A</v>
      </c>
      <c r="L33" s="4" t="e">
        <f>IF(A33&lt;('2. Inputs and results'!$C$21+1),L32,NA())</f>
        <v>#N/A</v>
      </c>
      <c r="M33" s="4" t="str">
        <f>IF(A33&lt;('2. Inputs and results'!$C$21+1),'2. Inputs and results'!$C$75*'2. Inputs and results'!$C$73," ")</f>
        <v xml:space="preserve"> </v>
      </c>
      <c r="N33" s="4" t="str">
        <f>IF(A33&lt;('2. Inputs and results'!$C$21+1),M33/((1+$P$2)^A33)," ")</f>
        <v xml:space="preserve"> </v>
      </c>
      <c r="O33" s="4" t="str">
        <f>IF(A33&lt;('2. Inputs and results'!$C$21+1),'2. Inputs and results'!$C$73*'2. Inputs and results'!$C$75+O32," ")</f>
        <v xml:space="preserve"> </v>
      </c>
      <c r="P33" s="4" t="str">
        <f>IF(A33&lt;('2. Inputs and results'!$C$21+1),(G33+I33+H33+J33)/((1+$P$2)^A33)," ")</f>
        <v xml:space="preserve"> </v>
      </c>
      <c r="Q33" s="4" t="str">
        <f>IF(A33&lt;('2. Inputs and results'!$C$21+1),Q32+P33," ")</f>
        <v xml:space="preserve"> </v>
      </c>
      <c r="R33" s="4" t="e">
        <f>IF(A33&lt;('2. Inputs and results'!$C$21+1),R32+G33+I33+H33+J33+T33-$V$6,NA())</f>
        <v>#N/A</v>
      </c>
      <c r="S33" s="4" t="str">
        <f>IF(A33&lt;('2. Inputs and results'!$C$21+1),'2. Inputs and results'!$C$79*(R32)," ")</f>
        <v xml:space="preserve"> </v>
      </c>
      <c r="T33" s="4">
        <f t="shared" si="1"/>
        <v>0</v>
      </c>
      <c r="U33" s="4" t="e">
        <f>IF(A33&lt;('2. Inputs and results'!$C$21+1),U32+((G33+I33+H33+J33-$V$6+T33)/((1+$P$2)^A33)),NA())</f>
        <v>#N/A</v>
      </c>
      <c r="V33" s="4" t="str">
        <f>IF(A33&lt;('2. Inputs and results'!$C$21+1),V32+('2. Inputs and results'!$C$75*'2. Inputs and results'!$C$73)," ")</f>
        <v xml:space="preserve"> </v>
      </c>
      <c r="W33" s="4" t="e">
        <f>IF(A33&lt;('2. Inputs and results'!$C$21+1),W32+C33+Y33-$V$6,NA())</f>
        <v>#N/A</v>
      </c>
      <c r="X33" s="4" t="str">
        <f>IF(A33&lt;('2. Inputs and results'!$C$21+1),'2. Inputs and results'!$C$79*(W32)," ")</f>
        <v xml:space="preserve"> </v>
      </c>
      <c r="Y33" s="4">
        <f t="shared" si="2"/>
        <v>0</v>
      </c>
      <c r="Z33" s="4" t="e">
        <f>IF(A33&lt;('2. Inputs and results'!$C$21+1),Z32+((C33-$V$6+Y33)/((1+$P$2)^A33)),NA())</f>
        <v>#N/A</v>
      </c>
      <c r="AA33" s="4" t="str">
        <f>IF(A33&lt;('2. Inputs and results'!$C$21+1),AA32+G33+I33+H33+T33-$V$6," ")</f>
        <v xml:space="preserve"> </v>
      </c>
      <c r="AB33" s="20" t="e">
        <f>IF(A33&lt;('2. Inputs and results'!$C$21+1),AA33/L33,NA())</f>
        <v>#N/A</v>
      </c>
      <c r="AC33" s="29" t="str">
        <f>IF(A33&lt;('2. Inputs and results'!$C$21+1),AC32+C33+Y33-$V$6," ")</f>
        <v xml:space="preserve"> </v>
      </c>
      <c r="AD33" s="20" t="e">
        <f>IF(A33&lt;('2. Inputs and results'!$C$21+1),AC33/L33,NA())</f>
        <v>#N/A</v>
      </c>
      <c r="AE33" t="str">
        <f>IF(A33&lt;('2. Inputs and results'!$C$21+1),-'2. Inputs and results'!$C$121*A33," ")</f>
        <v xml:space="preserve"> </v>
      </c>
      <c r="AF33" t="e">
        <f>IF(A33&lt;('2. Inputs and results'!$C$21+1),AE33/1000,NA())</f>
        <v>#N/A</v>
      </c>
    </row>
    <row r="34" spans="1:32" x14ac:dyDescent="0.25">
      <c r="A34">
        <f t="shared" si="0"/>
        <v>29</v>
      </c>
      <c r="B34" t="str">
        <f>IF(A34&lt;('2. Inputs and results'!$C$21+1),A34," ")</f>
        <v xml:space="preserve"> </v>
      </c>
      <c r="C34" s="4" t="str">
        <f>IF(A34&lt;('2. Inputs and results'!$C$21+1),'2. Inputs and results'!$C$99+'2. Inputs and results'!$C$101," ")</f>
        <v xml:space="preserve"> </v>
      </c>
      <c r="D34" s="4" t="e">
        <f>IF(A34&lt;('2. Inputs and results'!$C$21+1),D33+C34,NA())</f>
        <v>#N/A</v>
      </c>
      <c r="E34" s="4" t="str">
        <f>IF(A34&lt;('2. Inputs and results'!$C$21+1),C34/((1+$P$2)^A34)," ")</f>
        <v xml:space="preserve"> </v>
      </c>
      <c r="F34" s="4" t="str">
        <f>IF(B34&lt;('2. Inputs and results'!$C$21+1),F33+E34," ")</f>
        <v xml:space="preserve"> </v>
      </c>
      <c r="G34" s="4" t="str">
        <f>IF(A34&lt;('2. Inputs and results'!$C$21+1),G33*(1+'2. Inputs and results'!$C$44)," ")</f>
        <v xml:space="preserve"> </v>
      </c>
      <c r="H34" s="4" t="str">
        <f>IF(A34&lt;('2. Inputs and results'!$C$21+1),H33*(1+'2. Inputs and results'!$C$56)," ")</f>
        <v xml:space="preserve"> </v>
      </c>
      <c r="I34" s="4" t="str">
        <f>IF(A34&lt;('2. Inputs and results'!$C$21+1),I33*(1+'2. Inputs and results'!$C$32)," ")</f>
        <v xml:space="preserve"> </v>
      </c>
      <c r="J34" s="4" t="str">
        <f>IF(A34&lt;('2. Inputs and results'!$C$21+1),J33*(1+'2. Inputs and results'!$C$66)," ")</f>
        <v xml:space="preserve"> </v>
      </c>
      <c r="K34" s="4" t="e">
        <f>IF(A34&lt;('2. Inputs and results'!$C$21+1),K33+(G34+I34+H34+J34),NA())</f>
        <v>#N/A</v>
      </c>
      <c r="L34" s="4" t="e">
        <f>IF(A34&lt;('2. Inputs and results'!$C$21+1),L33,NA())</f>
        <v>#N/A</v>
      </c>
      <c r="M34" s="4" t="str">
        <f>IF(A34&lt;('2. Inputs and results'!$C$21+1),'2. Inputs and results'!$C$75*'2. Inputs and results'!$C$73," ")</f>
        <v xml:space="preserve"> </v>
      </c>
      <c r="N34" s="4" t="str">
        <f>IF(A34&lt;('2. Inputs and results'!$C$21+1),M34/((1+$P$2)^A34)," ")</f>
        <v xml:space="preserve"> </v>
      </c>
      <c r="O34" s="4" t="str">
        <f>IF(A34&lt;('2. Inputs and results'!$C$21+1),'2. Inputs and results'!$C$73*'2. Inputs and results'!$C$75+O33," ")</f>
        <v xml:space="preserve"> </v>
      </c>
      <c r="P34" s="4" t="str">
        <f>IF(A34&lt;('2. Inputs and results'!$C$21+1),(G34+I34+H34+J34)/((1+$P$2)^A34)," ")</f>
        <v xml:space="preserve"> </v>
      </c>
      <c r="Q34" s="4" t="str">
        <f>IF(A34&lt;('2. Inputs and results'!$C$21+1),Q33+P34," ")</f>
        <v xml:space="preserve"> </v>
      </c>
      <c r="R34" s="4" t="e">
        <f>IF(A34&lt;('2. Inputs and results'!$C$21+1),R33+G34+I34+H34+J34+T34-$V$6,NA())</f>
        <v>#N/A</v>
      </c>
      <c r="S34" s="4" t="str">
        <f>IF(A34&lt;('2. Inputs and results'!$C$21+1),'2. Inputs and results'!$C$79*(R33)," ")</f>
        <v xml:space="preserve"> </v>
      </c>
      <c r="T34" s="4">
        <f t="shared" si="1"/>
        <v>0</v>
      </c>
      <c r="U34" s="4" t="e">
        <f>IF(A34&lt;('2. Inputs and results'!$C$21+1),U33+((G34+I34+H34+J34-$V$6+T34)/((1+$P$2)^A34)),NA())</f>
        <v>#N/A</v>
      </c>
      <c r="V34" s="4" t="str">
        <f>IF(A34&lt;('2. Inputs and results'!$C$21+1),V33+('2. Inputs and results'!$C$75*'2. Inputs and results'!$C$73)," ")</f>
        <v xml:space="preserve"> </v>
      </c>
      <c r="W34" s="4" t="e">
        <f>IF(A34&lt;('2. Inputs and results'!$C$21+1),W33+C34+Y34-$V$6,NA())</f>
        <v>#N/A</v>
      </c>
      <c r="X34" s="4" t="str">
        <f>IF(A34&lt;('2. Inputs and results'!$C$21+1),'2. Inputs and results'!$C$79*(W33)," ")</f>
        <v xml:space="preserve"> </v>
      </c>
      <c r="Y34" s="4">
        <f t="shared" si="2"/>
        <v>0</v>
      </c>
      <c r="Z34" s="4" t="e">
        <f>IF(A34&lt;('2. Inputs and results'!$C$21+1),Z33+((C34-$V$6+Y34)/((1+$P$2)^A34)),NA())</f>
        <v>#N/A</v>
      </c>
      <c r="AA34" s="4" t="str">
        <f>IF(A34&lt;('2. Inputs and results'!$C$21+1),AA33+G34+I34+H34+T34-$V$6," ")</f>
        <v xml:space="preserve"> </v>
      </c>
      <c r="AB34" s="20" t="e">
        <f>IF(A34&lt;('2. Inputs and results'!$C$21+1),AA34/L34,NA())</f>
        <v>#N/A</v>
      </c>
      <c r="AC34" s="29" t="str">
        <f>IF(A34&lt;('2. Inputs and results'!$C$21+1),AC33+C34+Y34-$V$6," ")</f>
        <v xml:space="preserve"> </v>
      </c>
      <c r="AD34" s="20" t="e">
        <f>IF(A34&lt;('2. Inputs and results'!$C$21+1),AC34/L34,NA())</f>
        <v>#N/A</v>
      </c>
      <c r="AE34" t="str">
        <f>IF(A34&lt;('2. Inputs and results'!$C$21+1),-'2. Inputs and results'!$C$121*A34," ")</f>
        <v xml:space="preserve"> </v>
      </c>
      <c r="AF34" t="e">
        <f>IF(A34&lt;('2. Inputs and results'!$C$21+1),AE34/1000,NA())</f>
        <v>#N/A</v>
      </c>
    </row>
    <row r="35" spans="1:32" x14ac:dyDescent="0.25">
      <c r="A35">
        <f t="shared" si="0"/>
        <v>30</v>
      </c>
      <c r="B35" t="str">
        <f>IF(A35&lt;('2. Inputs and results'!$C$21+1),A35," ")</f>
        <v xml:space="preserve"> </v>
      </c>
      <c r="C35" s="4" t="str">
        <f>IF(A35&lt;('2. Inputs and results'!$C$21+1),'2. Inputs and results'!$C$99+'2. Inputs and results'!$C$101," ")</f>
        <v xml:space="preserve"> </v>
      </c>
      <c r="D35" s="4" t="e">
        <f>IF(A35&lt;('2. Inputs and results'!$C$21+1),D34+C35,NA())</f>
        <v>#N/A</v>
      </c>
      <c r="E35" s="4" t="str">
        <f>IF(A35&lt;('2. Inputs and results'!$C$21+1),C35/((1+$P$2)^A35)," ")</f>
        <v xml:space="preserve"> </v>
      </c>
      <c r="F35" s="4" t="str">
        <f>IF(B35&lt;('2. Inputs and results'!$C$21+1),F34+E35," ")</f>
        <v xml:space="preserve"> </v>
      </c>
      <c r="G35" s="4" t="str">
        <f>IF(A35&lt;('2. Inputs and results'!$C$21+1),G34*(1+'2. Inputs and results'!$C$44)," ")</f>
        <v xml:space="preserve"> </v>
      </c>
      <c r="H35" s="4" t="str">
        <f>IF(A35&lt;('2. Inputs and results'!$C$21+1),H34*(1+'2. Inputs and results'!$C$56)," ")</f>
        <v xml:space="preserve"> </v>
      </c>
      <c r="I35" s="4" t="str">
        <f>IF(A35&lt;('2. Inputs and results'!$C$21+1),I34*(1+'2. Inputs and results'!$C$32)," ")</f>
        <v xml:space="preserve"> </v>
      </c>
      <c r="J35" s="4" t="str">
        <f>IF(A35&lt;('2. Inputs and results'!$C$21+1),J34*(1+'2. Inputs and results'!$C$66)," ")</f>
        <v xml:space="preserve"> </v>
      </c>
      <c r="K35" s="4" t="e">
        <f>IF(A35&lt;('2. Inputs and results'!$C$21+1),K34+(G35+I35+H35+J35),NA())</f>
        <v>#N/A</v>
      </c>
      <c r="L35" s="4" t="e">
        <f>IF(A35&lt;('2. Inputs and results'!$C$21+1),L34,NA())</f>
        <v>#N/A</v>
      </c>
      <c r="M35" s="4" t="str">
        <f>IF(A35&lt;('2. Inputs and results'!$C$21+1),'2. Inputs and results'!$C$75*'2. Inputs and results'!$C$73," ")</f>
        <v xml:space="preserve"> </v>
      </c>
      <c r="N35" s="4" t="str">
        <f>IF(A35&lt;('2. Inputs and results'!$C$21+1),M35/((1+$P$2)^A35)," ")</f>
        <v xml:space="preserve"> </v>
      </c>
      <c r="O35" s="4" t="str">
        <f>IF(A35&lt;('2. Inputs and results'!$C$21+1),'2. Inputs and results'!$C$73*'2. Inputs and results'!$C$75+O34," ")</f>
        <v xml:space="preserve"> </v>
      </c>
      <c r="P35" s="4" t="str">
        <f>IF(A35&lt;('2. Inputs and results'!$C$21+1),(G35+I35+H35+J35)/((1+$P$2)^A35)," ")</f>
        <v xml:space="preserve"> </v>
      </c>
      <c r="Q35" s="4" t="str">
        <f>IF(A35&lt;('2. Inputs and results'!$C$21+1),Q34+P35," ")</f>
        <v xml:space="preserve"> </v>
      </c>
      <c r="R35" s="4" t="e">
        <f>IF(A35&lt;('2. Inputs and results'!$C$21+1),R34+G35+I35+H35+J35+T35-$V$6,NA())</f>
        <v>#N/A</v>
      </c>
      <c r="S35" s="4" t="str">
        <f>IF(A35&lt;('2. Inputs and results'!$C$21+1),'2. Inputs and results'!$C$79*(R34)," ")</f>
        <v xml:space="preserve"> </v>
      </c>
      <c r="T35" s="4">
        <f t="shared" si="1"/>
        <v>0</v>
      </c>
      <c r="U35" s="4" t="e">
        <f>IF(A35&lt;('2. Inputs and results'!$C$21+1),U34+((G35+I35+H35+J35-$V$6+T35)/((1+$P$2)^A35)),NA())</f>
        <v>#N/A</v>
      </c>
      <c r="V35" s="4" t="str">
        <f>IF(A35&lt;('2. Inputs and results'!$C$21+1),V34+('2. Inputs and results'!$C$75*'2. Inputs and results'!$C$73)," ")</f>
        <v xml:space="preserve"> </v>
      </c>
      <c r="W35" s="4" t="e">
        <f>IF(A35&lt;('2. Inputs and results'!$C$21+1),W34+C35+Y35-$V$6,NA())</f>
        <v>#N/A</v>
      </c>
      <c r="X35" s="4" t="str">
        <f>IF(A35&lt;('2. Inputs and results'!$C$21+1),'2. Inputs and results'!$C$79*(W34)," ")</f>
        <v xml:space="preserve"> </v>
      </c>
      <c r="Y35" s="4">
        <f t="shared" si="2"/>
        <v>0</v>
      </c>
      <c r="Z35" s="4" t="e">
        <f>IF(A35&lt;('2. Inputs and results'!$C$21+1),Z34+((C35-$V$6+Y35)/((1+$P$2)^A35)),NA())</f>
        <v>#N/A</v>
      </c>
      <c r="AA35" s="4" t="str">
        <f>IF(A35&lt;('2. Inputs and results'!$C$21+1),AA34+G35+I35+H35+T35-$V$6," ")</f>
        <v xml:space="preserve"> </v>
      </c>
      <c r="AB35" s="20" t="e">
        <f>IF(A35&lt;('2. Inputs and results'!$C$21+1),AA35/L35,NA())</f>
        <v>#N/A</v>
      </c>
      <c r="AC35" s="29" t="str">
        <f>IF(A35&lt;('2. Inputs and results'!$C$21+1),AC34+C35+Y35-$V$6," ")</f>
        <v xml:space="preserve"> </v>
      </c>
      <c r="AD35" s="20" t="e">
        <f>IF(A35&lt;('2. Inputs and results'!$C$21+1),AC35/L35,NA())</f>
        <v>#N/A</v>
      </c>
      <c r="AE35" t="str">
        <f>IF(A35&lt;('2. Inputs and results'!$C$21+1),-'2. Inputs and results'!$C$121*A35," ")</f>
        <v xml:space="preserve"> </v>
      </c>
      <c r="AF35" t="e">
        <f>IF(A35&lt;('2. Inputs and results'!$C$21+1),AE35/1000,NA())</f>
        <v>#N/A</v>
      </c>
    </row>
    <row r="36" spans="1:32" x14ac:dyDescent="0.25">
      <c r="A36">
        <f t="shared" si="0"/>
        <v>31</v>
      </c>
      <c r="B36" t="str">
        <f>IF(A36&lt;('2. Inputs and results'!$C$21+1),A36," ")</f>
        <v xml:space="preserve"> </v>
      </c>
      <c r="C36" s="4" t="str">
        <f>IF(A36&lt;('2. Inputs and results'!$C$21+1),'2. Inputs and results'!$C$99+'2. Inputs and results'!$C$101," ")</f>
        <v xml:space="preserve"> </v>
      </c>
      <c r="D36" s="4" t="e">
        <f>IF(A36&lt;('2. Inputs and results'!$C$21+1),D35+C36,NA())</f>
        <v>#N/A</v>
      </c>
      <c r="E36" s="4" t="str">
        <f>IF(A36&lt;('2. Inputs and results'!$C$21+1),C36/((1+$P$2)^A36)," ")</f>
        <v xml:space="preserve"> </v>
      </c>
      <c r="F36" s="4" t="str">
        <f>IF(B36&lt;('2. Inputs and results'!$C$21+1),F35+E36," ")</f>
        <v xml:space="preserve"> </v>
      </c>
      <c r="G36" s="4" t="str">
        <f>IF(A36&lt;('2. Inputs and results'!$C$21+1),G35*(1+'2. Inputs and results'!$C$44)," ")</f>
        <v xml:space="preserve"> </v>
      </c>
      <c r="H36" s="4" t="str">
        <f>IF(A36&lt;('2. Inputs and results'!$C$21+1),H35*(1+'2. Inputs and results'!$C$56)," ")</f>
        <v xml:space="preserve"> </v>
      </c>
      <c r="I36" s="4" t="str">
        <f>IF(A36&lt;('2. Inputs and results'!$C$21+1),I35*(1+'2. Inputs and results'!$C$32)," ")</f>
        <v xml:space="preserve"> </v>
      </c>
      <c r="J36" s="4" t="str">
        <f>IF(A36&lt;('2. Inputs and results'!$C$21+1),J35*(1+'2. Inputs and results'!$C$66)," ")</f>
        <v xml:space="preserve"> </v>
      </c>
      <c r="K36" s="4" t="e">
        <f>IF(A36&lt;('2. Inputs and results'!$C$21+1),K35+(G36+I36+H36+J36),NA())</f>
        <v>#N/A</v>
      </c>
      <c r="L36" s="4" t="e">
        <f>IF(A36&lt;('2. Inputs and results'!$C$21+1),L35,NA())</f>
        <v>#N/A</v>
      </c>
      <c r="M36" s="4" t="str">
        <f>IF(A36&lt;('2. Inputs and results'!$C$21+1),'2. Inputs and results'!$C$75*'2. Inputs and results'!$C$73," ")</f>
        <v xml:space="preserve"> </v>
      </c>
      <c r="N36" s="4" t="str">
        <f>IF(A36&lt;('2. Inputs and results'!$C$21+1),M36/((1+$P$2)^A36)," ")</f>
        <v xml:space="preserve"> </v>
      </c>
      <c r="O36" s="4" t="str">
        <f>IF(A36&lt;('2. Inputs and results'!$C$21+1),'2. Inputs and results'!$C$73*'2. Inputs and results'!$C$75+O35," ")</f>
        <v xml:space="preserve"> </v>
      </c>
      <c r="P36" s="4" t="str">
        <f>IF(A36&lt;('2. Inputs and results'!$C$21+1),(G36+I36+H36+J36)/((1+$P$2)^A36)," ")</f>
        <v xml:space="preserve"> </v>
      </c>
      <c r="Q36" s="4" t="str">
        <f>IF(A36&lt;('2. Inputs and results'!$C$21+1),Q35+P36," ")</f>
        <v xml:space="preserve"> </v>
      </c>
      <c r="R36" s="4" t="e">
        <f>IF(A36&lt;('2. Inputs and results'!$C$21+1),R35+G36+I36+H36+J36+T36-$V$6,NA())</f>
        <v>#N/A</v>
      </c>
      <c r="S36" s="4" t="str">
        <f>IF(A36&lt;('2. Inputs and results'!$C$21+1),'2. Inputs and results'!$C$79*(R35)," ")</f>
        <v xml:space="preserve"> </v>
      </c>
      <c r="T36" s="4">
        <f t="shared" si="1"/>
        <v>0</v>
      </c>
      <c r="U36" s="4" t="e">
        <f>IF(A36&lt;('2. Inputs and results'!$C$21+1),U35+((G36+I36+H36+J36-$V$6+T36)/((1+$P$2)^A36)),NA())</f>
        <v>#N/A</v>
      </c>
      <c r="V36" s="4" t="str">
        <f>IF(A36&lt;('2. Inputs and results'!$C$21+1),V35+('2. Inputs and results'!$C$75*'2. Inputs and results'!$C$73)," ")</f>
        <v xml:space="preserve"> </v>
      </c>
      <c r="W36" s="4" t="e">
        <f>IF(A36&lt;('2. Inputs and results'!$C$21+1),W35+C36+Y36-$V$6,NA())</f>
        <v>#N/A</v>
      </c>
      <c r="X36" s="4" t="str">
        <f>IF(A36&lt;('2. Inputs and results'!$C$21+1),'2. Inputs and results'!$C$79*(W35)," ")</f>
        <v xml:space="preserve"> </v>
      </c>
      <c r="Y36" s="4">
        <f t="shared" si="2"/>
        <v>0</v>
      </c>
      <c r="Z36" s="4" t="e">
        <f>IF(A36&lt;('2. Inputs and results'!$C$21+1),Z35+((C36-$V$6+Y36)/((1+$P$2)^A36)),NA())</f>
        <v>#N/A</v>
      </c>
      <c r="AA36" s="4" t="str">
        <f>IF(A36&lt;('2. Inputs and results'!$C$21+1),AA35+G36+I36+H36+T36-$V$6," ")</f>
        <v xml:space="preserve"> </v>
      </c>
      <c r="AB36" s="20" t="e">
        <f>IF(A36&lt;('2. Inputs and results'!$C$21+1),AA36/L36,NA())</f>
        <v>#N/A</v>
      </c>
      <c r="AC36" s="29" t="str">
        <f>IF(A36&lt;('2. Inputs and results'!$C$21+1),AC35+C36+Y36-$V$6," ")</f>
        <v xml:space="preserve"> </v>
      </c>
      <c r="AD36" s="20" t="e">
        <f>IF(A36&lt;('2. Inputs and results'!$C$21+1),AC36/L36,NA())</f>
        <v>#N/A</v>
      </c>
      <c r="AE36" t="str">
        <f>IF(A36&lt;('2. Inputs and results'!$C$21+1),-'2. Inputs and results'!$C$121*A36," ")</f>
        <v xml:space="preserve"> </v>
      </c>
      <c r="AF36" t="e">
        <f>IF(A36&lt;('2. Inputs and results'!$C$21+1),AE36/1000,NA())</f>
        <v>#N/A</v>
      </c>
    </row>
    <row r="37" spans="1:32" x14ac:dyDescent="0.25">
      <c r="A37">
        <f t="shared" si="0"/>
        <v>32</v>
      </c>
      <c r="B37" t="str">
        <f>IF(A37&lt;('2. Inputs and results'!$C$21+1),A37," ")</f>
        <v xml:space="preserve"> </v>
      </c>
      <c r="C37" s="4" t="str">
        <f>IF(A37&lt;('2. Inputs and results'!$C$21+1),'2. Inputs and results'!$C$99+'2. Inputs and results'!$C$101," ")</f>
        <v xml:space="preserve"> </v>
      </c>
      <c r="D37" s="4" t="e">
        <f>IF(A37&lt;('2. Inputs and results'!$C$21+1),D36+C37,NA())</f>
        <v>#N/A</v>
      </c>
      <c r="E37" s="4" t="str">
        <f>IF(A37&lt;('2. Inputs and results'!$C$21+1),C37/((1+$P$2)^A37)," ")</f>
        <v xml:space="preserve"> </v>
      </c>
      <c r="F37" s="4" t="str">
        <f>IF(B37&lt;('2. Inputs and results'!$C$21+1),F36+E37," ")</f>
        <v xml:space="preserve"> </v>
      </c>
      <c r="G37" s="4" t="str">
        <f>IF(A37&lt;('2. Inputs and results'!$C$21+1),G36*(1+'2. Inputs and results'!$C$44)," ")</f>
        <v xml:space="preserve"> </v>
      </c>
      <c r="H37" s="4" t="str">
        <f>IF(A37&lt;('2. Inputs and results'!$C$21+1),H36*(1+'2. Inputs and results'!$C$56)," ")</f>
        <v xml:space="preserve"> </v>
      </c>
      <c r="I37" s="4" t="str">
        <f>IF(A37&lt;('2. Inputs and results'!$C$21+1),I36*(1+'2. Inputs and results'!$C$32)," ")</f>
        <v xml:space="preserve"> </v>
      </c>
      <c r="J37" s="4" t="str">
        <f>IF(A37&lt;('2. Inputs and results'!$C$21+1),J36*(1+'2. Inputs and results'!$C$66)," ")</f>
        <v xml:space="preserve"> </v>
      </c>
      <c r="K37" s="4" t="e">
        <f>IF(A37&lt;('2. Inputs and results'!$C$21+1),K36+(G37+I37+H37+J37),NA())</f>
        <v>#N/A</v>
      </c>
      <c r="L37" s="4" t="e">
        <f>IF(A37&lt;('2. Inputs and results'!$C$21+1),L36,NA())</f>
        <v>#N/A</v>
      </c>
      <c r="M37" s="4" t="str">
        <f>IF(A37&lt;('2. Inputs and results'!$C$21+1),'2. Inputs and results'!$C$75*'2. Inputs and results'!$C$73," ")</f>
        <v xml:space="preserve"> </v>
      </c>
      <c r="N37" s="4" t="str">
        <f>IF(A37&lt;('2. Inputs and results'!$C$21+1),M37/((1+$P$2)^A37)," ")</f>
        <v xml:space="preserve"> </v>
      </c>
      <c r="O37" s="4" t="str">
        <f>IF(A37&lt;('2. Inputs and results'!$C$21+1),'2. Inputs and results'!$C$73*'2. Inputs and results'!$C$75+O36," ")</f>
        <v xml:space="preserve"> </v>
      </c>
      <c r="P37" s="4" t="str">
        <f>IF(A37&lt;('2. Inputs and results'!$C$21+1),(G37+I37+H37+J37)/((1+$P$2)^A37)," ")</f>
        <v xml:space="preserve"> </v>
      </c>
      <c r="Q37" s="4" t="str">
        <f>IF(A37&lt;('2. Inputs and results'!$C$21+1),Q36+P37," ")</f>
        <v xml:space="preserve"> </v>
      </c>
      <c r="R37" s="4" t="e">
        <f>IF(A37&lt;('2. Inputs and results'!$C$21+1),R36+G37+I37+H37+J37+T37-$V$6,NA())</f>
        <v>#N/A</v>
      </c>
      <c r="S37" s="4" t="str">
        <f>IF(A37&lt;('2. Inputs and results'!$C$21+1),'2. Inputs and results'!$C$79*(R36)," ")</f>
        <v xml:space="preserve"> </v>
      </c>
      <c r="T37" s="4">
        <f t="shared" si="1"/>
        <v>0</v>
      </c>
      <c r="U37" s="4" t="e">
        <f>IF(A37&lt;('2. Inputs and results'!$C$21+1),U36+((G37+I37+H37+J37-$V$6+T37)/((1+$P$2)^A37)),NA())</f>
        <v>#N/A</v>
      </c>
      <c r="V37" s="4" t="str">
        <f>IF(A37&lt;('2. Inputs and results'!$C$21+1),V36+('2. Inputs and results'!$C$75*'2. Inputs and results'!$C$73)," ")</f>
        <v xml:space="preserve"> </v>
      </c>
      <c r="W37" s="4" t="e">
        <f>IF(A37&lt;('2. Inputs and results'!$C$21+1),W36+C37+Y37-$V$6,NA())</f>
        <v>#N/A</v>
      </c>
      <c r="X37" s="4" t="str">
        <f>IF(A37&lt;('2. Inputs and results'!$C$21+1),'2. Inputs and results'!$C$79*(W36)," ")</f>
        <v xml:space="preserve"> </v>
      </c>
      <c r="Y37" s="4">
        <f t="shared" si="2"/>
        <v>0</v>
      </c>
      <c r="Z37" s="4" t="e">
        <f>IF(A37&lt;('2. Inputs and results'!$C$21+1),Z36+((C37-$V$6+Y37)/((1+$P$2)^A37)),NA())</f>
        <v>#N/A</v>
      </c>
      <c r="AA37" s="4" t="str">
        <f>IF(A37&lt;('2. Inputs and results'!$C$21+1),AA36+G37+I37+H37+T37-$V$6," ")</f>
        <v xml:space="preserve"> </v>
      </c>
      <c r="AB37" s="20" t="e">
        <f>IF(A37&lt;('2. Inputs and results'!$C$21+1),AA37/L37,NA())</f>
        <v>#N/A</v>
      </c>
      <c r="AC37" s="29" t="str">
        <f>IF(A37&lt;('2. Inputs and results'!$C$21+1),AC36+C37+Y37-$V$6," ")</f>
        <v xml:space="preserve"> </v>
      </c>
      <c r="AD37" s="20" t="e">
        <f>IF(A37&lt;('2. Inputs and results'!$C$21+1),AC37/L37,NA())</f>
        <v>#N/A</v>
      </c>
      <c r="AE37" t="str">
        <f>IF(A37&lt;('2. Inputs and results'!$C$21+1),-'2. Inputs and results'!$C$121*A37," ")</f>
        <v xml:space="preserve"> </v>
      </c>
      <c r="AF37" t="e">
        <f>IF(A37&lt;('2. Inputs and results'!$C$21+1),AE37/1000,NA())</f>
        <v>#N/A</v>
      </c>
    </row>
    <row r="38" spans="1:32" x14ac:dyDescent="0.25">
      <c r="A38">
        <f t="shared" si="0"/>
        <v>33</v>
      </c>
      <c r="B38" t="str">
        <f>IF(A38&lt;('2. Inputs and results'!$C$21+1),A38," ")</f>
        <v xml:space="preserve"> </v>
      </c>
      <c r="C38" s="4" t="str">
        <f>IF(A38&lt;('2. Inputs and results'!$C$21+1),'2. Inputs and results'!$C$99+'2. Inputs and results'!$C$101," ")</f>
        <v xml:space="preserve"> </v>
      </c>
      <c r="D38" s="4" t="e">
        <f>IF(A38&lt;('2. Inputs and results'!$C$21+1),D37+C38,NA())</f>
        <v>#N/A</v>
      </c>
      <c r="E38" s="4" t="str">
        <f>IF(A38&lt;('2. Inputs and results'!$C$21+1),C38/((1+$P$2)^A38)," ")</f>
        <v xml:space="preserve"> </v>
      </c>
      <c r="F38" s="4" t="str">
        <f>IF(B38&lt;('2. Inputs and results'!$C$21+1),F37+E38," ")</f>
        <v xml:space="preserve"> </v>
      </c>
      <c r="G38" s="4" t="str">
        <f>IF(A38&lt;('2. Inputs and results'!$C$21+1),G37*(1+'2. Inputs and results'!$C$44)," ")</f>
        <v xml:space="preserve"> </v>
      </c>
      <c r="H38" s="4" t="str">
        <f>IF(A38&lt;('2. Inputs and results'!$C$21+1),H37*(1+'2. Inputs and results'!$C$56)," ")</f>
        <v xml:space="preserve"> </v>
      </c>
      <c r="I38" s="4" t="str">
        <f>IF(A38&lt;('2. Inputs and results'!$C$21+1),I37*(1+'2. Inputs and results'!$C$32)," ")</f>
        <v xml:space="preserve"> </v>
      </c>
      <c r="J38" s="4" t="str">
        <f>IF(A38&lt;('2. Inputs and results'!$C$21+1),J37*(1+'2. Inputs and results'!$C$66)," ")</f>
        <v xml:space="preserve"> </v>
      </c>
      <c r="K38" s="4" t="e">
        <f>IF(A38&lt;('2. Inputs and results'!$C$21+1),K37+(G38+I38+H38+J38),NA())</f>
        <v>#N/A</v>
      </c>
      <c r="L38" s="4" t="e">
        <f>IF(A38&lt;('2. Inputs and results'!$C$21+1),L37,NA())</f>
        <v>#N/A</v>
      </c>
      <c r="M38" s="4" t="str">
        <f>IF(A38&lt;('2. Inputs and results'!$C$21+1),'2. Inputs and results'!$C$75*'2. Inputs and results'!$C$73," ")</f>
        <v xml:space="preserve"> </v>
      </c>
      <c r="N38" s="4" t="str">
        <f>IF(A38&lt;('2. Inputs and results'!$C$21+1),M38/((1+$P$2)^A38)," ")</f>
        <v xml:space="preserve"> </v>
      </c>
      <c r="O38" s="4" t="str">
        <f>IF(A38&lt;('2. Inputs and results'!$C$21+1),'2. Inputs and results'!$C$73*'2. Inputs and results'!$C$75+O37," ")</f>
        <v xml:space="preserve"> </v>
      </c>
      <c r="P38" s="4" t="str">
        <f>IF(A38&lt;('2. Inputs and results'!$C$21+1),(G38+I38+H38+J38)/((1+$P$2)^A38)," ")</f>
        <v xml:space="preserve"> </v>
      </c>
      <c r="Q38" s="4" t="str">
        <f>IF(A38&lt;('2. Inputs and results'!$C$21+1),Q37+P38," ")</f>
        <v xml:space="preserve"> </v>
      </c>
      <c r="R38" s="4" t="e">
        <f>IF(A38&lt;('2. Inputs and results'!$C$21+1),R37+G38+I38+H38+J38+T38-$V$6,NA())</f>
        <v>#N/A</v>
      </c>
      <c r="S38" s="4" t="str">
        <f>IF(A38&lt;('2. Inputs and results'!$C$21+1),'2. Inputs and results'!$C$79*(R37)," ")</f>
        <v xml:space="preserve"> </v>
      </c>
      <c r="T38" s="4">
        <f t="shared" si="1"/>
        <v>0</v>
      </c>
      <c r="U38" s="4" t="e">
        <f>IF(A38&lt;('2. Inputs and results'!$C$21+1),U37+((G38+I38+H38+J38-$V$6+T38)/((1+$P$2)^A38)),NA())</f>
        <v>#N/A</v>
      </c>
      <c r="V38" s="4" t="str">
        <f>IF(A38&lt;('2. Inputs and results'!$C$21+1),V37+('2. Inputs and results'!$C$75*'2. Inputs and results'!$C$73)," ")</f>
        <v xml:space="preserve"> </v>
      </c>
      <c r="W38" s="4" t="e">
        <f>IF(A38&lt;('2. Inputs and results'!$C$21+1),W37+C38+Y38-$V$6,NA())</f>
        <v>#N/A</v>
      </c>
      <c r="X38" s="4" t="str">
        <f>IF(A38&lt;('2. Inputs and results'!$C$21+1),'2. Inputs and results'!$C$79*(W37)," ")</f>
        <v xml:space="preserve"> </v>
      </c>
      <c r="Y38" s="4">
        <f t="shared" si="2"/>
        <v>0</v>
      </c>
      <c r="Z38" s="4" t="e">
        <f>IF(A38&lt;('2. Inputs and results'!$C$21+1),Z37+((C38-$V$6+Y38)/((1+$P$2)^A38)),NA())</f>
        <v>#N/A</v>
      </c>
      <c r="AA38" s="4" t="str">
        <f>IF(A38&lt;('2. Inputs and results'!$C$21+1),AA37+G38+I38+H38+T38-$V$6," ")</f>
        <v xml:space="preserve"> </v>
      </c>
      <c r="AB38" s="20" t="e">
        <f>IF(A38&lt;('2. Inputs and results'!$C$21+1),AA38/L38,NA())</f>
        <v>#N/A</v>
      </c>
      <c r="AC38" s="29" t="str">
        <f>IF(A38&lt;('2. Inputs and results'!$C$21+1),AC37+C38+Y38-$V$6," ")</f>
        <v xml:space="preserve"> </v>
      </c>
      <c r="AD38" s="20" t="e">
        <f>IF(A38&lt;('2. Inputs and results'!$C$21+1),AC38/L38,NA())</f>
        <v>#N/A</v>
      </c>
      <c r="AE38" t="str">
        <f>IF(A38&lt;('2. Inputs and results'!$C$21+1),-'2. Inputs and results'!$C$121*A38," ")</f>
        <v xml:space="preserve"> </v>
      </c>
      <c r="AF38" t="e">
        <f>IF(A38&lt;('2. Inputs and results'!$C$21+1),AE38/1000,NA())</f>
        <v>#N/A</v>
      </c>
    </row>
    <row r="39" spans="1:32" x14ac:dyDescent="0.25">
      <c r="A39">
        <f t="shared" si="0"/>
        <v>34</v>
      </c>
      <c r="B39" t="str">
        <f>IF(A39&lt;('2. Inputs and results'!$C$21+1),A39," ")</f>
        <v xml:space="preserve"> </v>
      </c>
      <c r="C39" s="4" t="str">
        <f>IF(A39&lt;('2. Inputs and results'!$C$21+1),'2. Inputs and results'!$C$99+'2. Inputs and results'!$C$101," ")</f>
        <v xml:space="preserve"> </v>
      </c>
      <c r="D39" s="4" t="e">
        <f>IF(A39&lt;('2. Inputs and results'!$C$21+1),D38+C39,NA())</f>
        <v>#N/A</v>
      </c>
      <c r="E39" s="4" t="str">
        <f>IF(A39&lt;('2. Inputs and results'!$C$21+1),C39/((1+$P$2)^A39)," ")</f>
        <v xml:space="preserve"> </v>
      </c>
      <c r="F39" s="4" t="str">
        <f>IF(B39&lt;('2. Inputs and results'!$C$21+1),F38+E39," ")</f>
        <v xml:space="preserve"> </v>
      </c>
      <c r="G39" s="4" t="str">
        <f>IF(A39&lt;('2. Inputs and results'!$C$21+1),G38*(1+'2. Inputs and results'!$C$44)," ")</f>
        <v xml:space="preserve"> </v>
      </c>
      <c r="H39" s="4" t="str">
        <f>IF(A39&lt;('2. Inputs and results'!$C$21+1),H38*(1+'2. Inputs and results'!$C$56)," ")</f>
        <v xml:space="preserve"> </v>
      </c>
      <c r="I39" s="4" t="str">
        <f>IF(A39&lt;('2. Inputs and results'!$C$21+1),I38*(1+'2. Inputs and results'!$C$32)," ")</f>
        <v xml:space="preserve"> </v>
      </c>
      <c r="J39" s="4" t="str">
        <f>IF(A39&lt;('2. Inputs and results'!$C$21+1),J38*(1+'2. Inputs and results'!$C$66)," ")</f>
        <v xml:space="preserve"> </v>
      </c>
      <c r="K39" s="4" t="e">
        <f>IF(A39&lt;('2. Inputs and results'!$C$21+1),K38+(G39+I39+H39+J39),NA())</f>
        <v>#N/A</v>
      </c>
      <c r="L39" s="4" t="e">
        <f>IF(A39&lt;('2. Inputs and results'!$C$21+1),L38,NA())</f>
        <v>#N/A</v>
      </c>
      <c r="M39" s="4" t="str">
        <f>IF(A39&lt;('2. Inputs and results'!$C$21+1),'2. Inputs and results'!$C$75*'2. Inputs and results'!$C$73," ")</f>
        <v xml:space="preserve"> </v>
      </c>
      <c r="N39" s="4" t="str">
        <f>IF(A39&lt;('2. Inputs and results'!$C$21+1),M39/((1+$P$2)^A39)," ")</f>
        <v xml:space="preserve"> </v>
      </c>
      <c r="O39" s="4" t="str">
        <f>IF(A39&lt;('2. Inputs and results'!$C$21+1),'2. Inputs and results'!$C$73*'2. Inputs and results'!$C$75+O38," ")</f>
        <v xml:space="preserve"> </v>
      </c>
      <c r="P39" s="4" t="str">
        <f>IF(A39&lt;('2. Inputs and results'!$C$21+1),(G39+I39+H39+J39)/((1+$P$2)^A39)," ")</f>
        <v xml:space="preserve"> </v>
      </c>
      <c r="Q39" s="4" t="str">
        <f>IF(A39&lt;('2. Inputs and results'!$C$21+1),Q38+P39," ")</f>
        <v xml:space="preserve"> </v>
      </c>
      <c r="R39" s="4" t="e">
        <f>IF(A39&lt;('2. Inputs and results'!$C$21+1),R38+G39+I39+H39+J39+T39-$V$6,NA())</f>
        <v>#N/A</v>
      </c>
      <c r="S39" s="4" t="str">
        <f>IF(A39&lt;('2. Inputs and results'!$C$21+1),'2. Inputs and results'!$C$79*(R38)," ")</f>
        <v xml:space="preserve"> </v>
      </c>
      <c r="T39" s="4">
        <f t="shared" si="1"/>
        <v>0</v>
      </c>
      <c r="U39" s="4" t="e">
        <f>IF(A39&lt;('2. Inputs and results'!$C$21+1),U38+((G39+I39+H39+J39-$V$6+T39)/((1+$P$2)^A39)),NA())</f>
        <v>#N/A</v>
      </c>
      <c r="V39" s="4" t="str">
        <f>IF(A39&lt;('2. Inputs and results'!$C$21+1),V38+('2. Inputs and results'!$C$75*'2. Inputs and results'!$C$73)," ")</f>
        <v xml:space="preserve"> </v>
      </c>
      <c r="W39" s="4" t="e">
        <f>IF(A39&lt;('2. Inputs and results'!$C$21+1),W38+C39+Y39-$V$6,NA())</f>
        <v>#N/A</v>
      </c>
      <c r="X39" s="4" t="str">
        <f>IF(A39&lt;('2. Inputs and results'!$C$21+1),'2. Inputs and results'!$C$79*(W38)," ")</f>
        <v xml:space="preserve"> </v>
      </c>
      <c r="Y39" s="4">
        <f t="shared" si="2"/>
        <v>0</v>
      </c>
      <c r="Z39" s="4" t="e">
        <f>IF(A39&lt;('2. Inputs and results'!$C$21+1),Z38+((C39-$V$6+Y39)/((1+$P$2)^A39)),NA())</f>
        <v>#N/A</v>
      </c>
      <c r="AA39" s="4" t="str">
        <f>IF(A39&lt;('2. Inputs and results'!$C$21+1),AA38+G39+I39+H39+T39-$V$6," ")</f>
        <v xml:space="preserve"> </v>
      </c>
      <c r="AB39" s="20" t="e">
        <f>IF(A39&lt;('2. Inputs and results'!$C$21+1),AA39/L39,NA())</f>
        <v>#N/A</v>
      </c>
      <c r="AC39" s="29" t="str">
        <f>IF(A39&lt;('2. Inputs and results'!$C$21+1),AC38+C39+Y39-$V$6," ")</f>
        <v xml:space="preserve"> </v>
      </c>
      <c r="AD39" s="20" t="e">
        <f>IF(A39&lt;('2. Inputs and results'!$C$21+1),AC39/L39,NA())</f>
        <v>#N/A</v>
      </c>
      <c r="AE39" t="str">
        <f>IF(A39&lt;('2. Inputs and results'!$C$21+1),-'2. Inputs and results'!$C$121*A39," ")</f>
        <v xml:space="preserve"> </v>
      </c>
      <c r="AF39" t="e">
        <f>IF(A39&lt;('2. Inputs and results'!$C$21+1),AE39/1000,NA())</f>
        <v>#N/A</v>
      </c>
    </row>
    <row r="40" spans="1:32" x14ac:dyDescent="0.25">
      <c r="A40">
        <f t="shared" si="0"/>
        <v>35</v>
      </c>
      <c r="B40" t="str">
        <f>IF(A40&lt;('2. Inputs and results'!$C$21+1),A40," ")</f>
        <v xml:space="preserve"> </v>
      </c>
      <c r="C40" s="4" t="str">
        <f>IF(A40&lt;('2. Inputs and results'!$C$21+1),'2. Inputs and results'!$C$99+'2. Inputs and results'!$C$101," ")</f>
        <v xml:space="preserve"> </v>
      </c>
      <c r="D40" s="4" t="e">
        <f>IF(A40&lt;('2. Inputs and results'!$C$21+1),D39+C40,NA())</f>
        <v>#N/A</v>
      </c>
      <c r="E40" s="4" t="str">
        <f>IF(A40&lt;('2. Inputs and results'!$C$21+1),C40/((1+$P$2)^A40)," ")</f>
        <v xml:space="preserve"> </v>
      </c>
      <c r="F40" s="4" t="str">
        <f>IF(B40&lt;('2. Inputs and results'!$C$21+1),F39+E40," ")</f>
        <v xml:space="preserve"> </v>
      </c>
      <c r="G40" s="4" t="str">
        <f>IF(A40&lt;('2. Inputs and results'!$C$21+1),G39*(1+'2. Inputs and results'!$C$44)," ")</f>
        <v xml:space="preserve"> </v>
      </c>
      <c r="H40" s="4" t="str">
        <f>IF(A40&lt;('2. Inputs and results'!$C$21+1),H39*(1+'2. Inputs and results'!$C$56)," ")</f>
        <v xml:space="preserve"> </v>
      </c>
      <c r="I40" s="4" t="str">
        <f>IF(A40&lt;('2. Inputs and results'!$C$21+1),I39*(1+'2. Inputs and results'!$C$32)," ")</f>
        <v xml:space="preserve"> </v>
      </c>
      <c r="J40" s="4" t="str">
        <f>IF(A40&lt;('2. Inputs and results'!$C$21+1),J39*(1+'2. Inputs and results'!$C$66)," ")</f>
        <v xml:space="preserve"> </v>
      </c>
      <c r="K40" s="4" t="e">
        <f>IF(A40&lt;('2. Inputs and results'!$C$21+1),K39+(G40+I40+H40+J40),NA())</f>
        <v>#N/A</v>
      </c>
      <c r="L40" s="4" t="e">
        <f>IF(A40&lt;('2. Inputs and results'!$C$21+1),L39,NA())</f>
        <v>#N/A</v>
      </c>
      <c r="M40" s="4" t="str">
        <f>IF(A40&lt;('2. Inputs and results'!$C$21+1),'2. Inputs and results'!$C$75*'2. Inputs and results'!$C$73," ")</f>
        <v xml:space="preserve"> </v>
      </c>
      <c r="N40" s="4" t="str">
        <f>IF(A40&lt;('2. Inputs and results'!$C$21+1),M40/((1+$P$2)^A40)," ")</f>
        <v xml:space="preserve"> </v>
      </c>
      <c r="O40" s="4" t="str">
        <f>IF(A40&lt;('2. Inputs and results'!$C$21+1),'2. Inputs and results'!$C$73*'2. Inputs and results'!$C$75+O39," ")</f>
        <v xml:space="preserve"> </v>
      </c>
      <c r="P40" s="4" t="str">
        <f>IF(A40&lt;('2. Inputs and results'!$C$21+1),(G40+I40+H40+J40)/((1+$P$2)^A40)," ")</f>
        <v xml:space="preserve"> </v>
      </c>
      <c r="Q40" s="4" t="str">
        <f>IF(A40&lt;('2. Inputs and results'!$C$21+1),Q39+P40," ")</f>
        <v xml:space="preserve"> </v>
      </c>
      <c r="R40" s="4" t="e">
        <f>IF(A40&lt;('2. Inputs and results'!$C$21+1),R39+G40+I40+H40+J40+T40-$V$6,NA())</f>
        <v>#N/A</v>
      </c>
      <c r="S40" s="4" t="str">
        <f>IF(A40&lt;('2. Inputs and results'!$C$21+1),'2. Inputs and results'!$C$79*(R39)," ")</f>
        <v xml:space="preserve"> </v>
      </c>
      <c r="T40" s="4">
        <f t="shared" si="1"/>
        <v>0</v>
      </c>
      <c r="U40" s="4" t="e">
        <f>IF(A40&lt;('2. Inputs and results'!$C$21+1),U39+((G40+I40+H40+J40-$V$6+T40)/((1+$P$2)^A40)),NA())</f>
        <v>#N/A</v>
      </c>
      <c r="V40" s="4" t="str">
        <f>IF(A40&lt;('2. Inputs and results'!$C$21+1),V39+('2. Inputs and results'!$C$75*'2. Inputs and results'!$C$73)," ")</f>
        <v xml:space="preserve"> </v>
      </c>
      <c r="W40" s="4" t="e">
        <f>IF(A40&lt;('2. Inputs and results'!$C$21+1),W39+C40+Y40-$V$6,NA())</f>
        <v>#N/A</v>
      </c>
      <c r="X40" s="4" t="str">
        <f>IF(A40&lt;('2. Inputs and results'!$C$21+1),'2. Inputs and results'!$C$79*(W39)," ")</f>
        <v xml:space="preserve"> </v>
      </c>
      <c r="Y40" s="4">
        <f t="shared" si="2"/>
        <v>0</v>
      </c>
      <c r="Z40" s="4" t="e">
        <f>IF(A40&lt;('2. Inputs and results'!$C$21+1),Z39+((C40-$V$6+Y40)/((1+$P$2)^A40)),NA())</f>
        <v>#N/A</v>
      </c>
      <c r="AA40" s="4" t="str">
        <f>IF(A40&lt;('2. Inputs and results'!$C$21+1),AA39+G40+I40+H40+T40-$V$6," ")</f>
        <v xml:space="preserve"> </v>
      </c>
      <c r="AB40" s="20" t="e">
        <f>IF(A40&lt;('2. Inputs and results'!$C$21+1),AA40/L40,NA())</f>
        <v>#N/A</v>
      </c>
      <c r="AC40" s="29" t="str">
        <f>IF(A40&lt;('2. Inputs and results'!$C$21+1),AC39+C40+Y40-$V$6," ")</f>
        <v xml:space="preserve"> </v>
      </c>
      <c r="AD40" s="20" t="e">
        <f>IF(A40&lt;('2. Inputs and results'!$C$21+1),AC40/L40,NA())</f>
        <v>#N/A</v>
      </c>
      <c r="AE40" t="str">
        <f>IF(A40&lt;('2. Inputs and results'!$C$21+1),-'2. Inputs and results'!$C$121*A40," ")</f>
        <v xml:space="preserve"> </v>
      </c>
      <c r="AF40" t="e">
        <f>IF(A40&lt;('2. Inputs and results'!$C$21+1),AE40/1000,NA())</f>
        <v>#N/A</v>
      </c>
    </row>
    <row r="41" spans="1:32" x14ac:dyDescent="0.25">
      <c r="A41">
        <f t="shared" si="0"/>
        <v>36</v>
      </c>
      <c r="B41" t="str">
        <f>IF(A41&lt;('2. Inputs and results'!$C$21+1),A41," ")</f>
        <v xml:space="preserve"> </v>
      </c>
      <c r="C41" s="4" t="str">
        <f>IF(A41&lt;('2. Inputs and results'!$C$21+1),'2. Inputs and results'!$C$99+'2. Inputs and results'!$C$101," ")</f>
        <v xml:space="preserve"> </v>
      </c>
      <c r="D41" s="4" t="e">
        <f>IF(A41&lt;('2. Inputs and results'!$C$21+1),D40+C41,NA())</f>
        <v>#N/A</v>
      </c>
      <c r="E41" s="4" t="str">
        <f>IF(A41&lt;('2. Inputs and results'!$C$21+1),C41/((1+$P$2)^A41)," ")</f>
        <v xml:space="preserve"> </v>
      </c>
      <c r="F41" s="4" t="str">
        <f>IF(B41&lt;('2. Inputs and results'!$C$21+1),F40+E41," ")</f>
        <v xml:space="preserve"> </v>
      </c>
      <c r="G41" s="4" t="str">
        <f>IF(A41&lt;('2. Inputs and results'!$C$21+1),G40*(1+'2. Inputs and results'!$C$44)," ")</f>
        <v xml:space="preserve"> </v>
      </c>
      <c r="H41" s="4" t="str">
        <f>IF(A41&lt;('2. Inputs and results'!$C$21+1),H40*(1+'2. Inputs and results'!$C$56)," ")</f>
        <v xml:space="preserve"> </v>
      </c>
      <c r="I41" s="4" t="str">
        <f>IF(A41&lt;('2. Inputs and results'!$C$21+1),I40*(1+'2. Inputs and results'!$C$32)," ")</f>
        <v xml:space="preserve"> </v>
      </c>
      <c r="J41" s="4" t="str">
        <f>IF(A41&lt;('2. Inputs and results'!$C$21+1),J40*(1+'2. Inputs and results'!$C$66)," ")</f>
        <v xml:space="preserve"> </v>
      </c>
      <c r="K41" s="4" t="e">
        <f>IF(A41&lt;('2. Inputs and results'!$C$21+1),K40+(G41+I41+H41+J41),NA())</f>
        <v>#N/A</v>
      </c>
      <c r="L41" s="4" t="e">
        <f>IF(A41&lt;('2. Inputs and results'!$C$21+1),L40,NA())</f>
        <v>#N/A</v>
      </c>
      <c r="M41" s="4" t="str">
        <f>IF(A41&lt;('2. Inputs and results'!$C$21+1),'2. Inputs and results'!$C$75*'2. Inputs and results'!$C$73," ")</f>
        <v xml:space="preserve"> </v>
      </c>
      <c r="N41" s="4" t="str">
        <f>IF(A41&lt;('2. Inputs and results'!$C$21+1),M41/((1+$P$2)^A41)," ")</f>
        <v xml:space="preserve"> </v>
      </c>
      <c r="O41" s="4" t="str">
        <f>IF(A41&lt;('2. Inputs and results'!$C$21+1),'2. Inputs and results'!$C$73*'2. Inputs and results'!$C$75+O40," ")</f>
        <v xml:space="preserve"> </v>
      </c>
      <c r="P41" s="4" t="str">
        <f>IF(A41&lt;('2. Inputs and results'!$C$21+1),(G41+I41+H41+J41)/((1+$P$2)^A41)," ")</f>
        <v xml:space="preserve"> </v>
      </c>
      <c r="Q41" s="4" t="str">
        <f>IF(A41&lt;('2. Inputs and results'!$C$21+1),Q40+P41," ")</f>
        <v xml:space="preserve"> </v>
      </c>
      <c r="R41" s="4" t="e">
        <f>IF(A41&lt;('2. Inputs and results'!$C$21+1),R40+G41+I41+H41+J41+T41-$V$6,NA())</f>
        <v>#N/A</v>
      </c>
      <c r="S41" s="4" t="str">
        <f>IF(A41&lt;('2. Inputs and results'!$C$21+1),'2. Inputs and results'!$C$79*(R40)," ")</f>
        <v xml:space="preserve"> </v>
      </c>
      <c r="T41" s="4">
        <f t="shared" si="1"/>
        <v>0</v>
      </c>
      <c r="U41" s="4" t="e">
        <f>IF(A41&lt;('2. Inputs and results'!$C$21+1),U40+((G41+I41+H41+J41-$V$6+T41)/((1+$P$2)^A41)),NA())</f>
        <v>#N/A</v>
      </c>
      <c r="V41" s="4" t="str">
        <f>IF(A41&lt;('2. Inputs and results'!$C$21+1),V40+('2. Inputs and results'!$C$75*'2. Inputs and results'!$C$73)," ")</f>
        <v xml:space="preserve"> </v>
      </c>
      <c r="W41" s="4" t="e">
        <f>IF(A41&lt;('2. Inputs and results'!$C$21+1),W40+C41+Y41-$V$6,NA())</f>
        <v>#N/A</v>
      </c>
      <c r="X41" s="4" t="str">
        <f>IF(A41&lt;('2. Inputs and results'!$C$21+1),'2. Inputs and results'!$C$79*(W40)," ")</f>
        <v xml:space="preserve"> </v>
      </c>
      <c r="Y41" s="4">
        <f t="shared" si="2"/>
        <v>0</v>
      </c>
      <c r="Z41" s="4" t="e">
        <f>IF(A41&lt;('2. Inputs and results'!$C$21+1),Z40+((C41-$V$6+Y41)/((1+$P$2)^A41)),NA())</f>
        <v>#N/A</v>
      </c>
      <c r="AA41" s="4" t="str">
        <f>IF(A41&lt;('2. Inputs and results'!$C$21+1),AA40+G41+I41+H41+T41-$V$6," ")</f>
        <v xml:space="preserve"> </v>
      </c>
      <c r="AB41" s="20" t="e">
        <f>IF(A41&lt;('2. Inputs and results'!$C$21+1),AA41/L41,NA())</f>
        <v>#N/A</v>
      </c>
      <c r="AC41" s="29" t="str">
        <f>IF(A41&lt;('2. Inputs and results'!$C$21+1),AC40+C41+Y41-$V$6," ")</f>
        <v xml:space="preserve"> </v>
      </c>
      <c r="AD41" s="20" t="e">
        <f>IF(A41&lt;('2. Inputs and results'!$C$21+1),AC41/L41,NA())</f>
        <v>#N/A</v>
      </c>
      <c r="AE41" t="str">
        <f>IF(A41&lt;('2. Inputs and results'!$C$21+1),-'2. Inputs and results'!$C$121*A41," ")</f>
        <v xml:space="preserve"> </v>
      </c>
      <c r="AF41" t="e">
        <f>IF(A41&lt;('2. Inputs and results'!$C$21+1),AE41/1000,NA())</f>
        <v>#N/A</v>
      </c>
    </row>
    <row r="42" spans="1:32" x14ac:dyDescent="0.25">
      <c r="A42">
        <f t="shared" si="0"/>
        <v>37</v>
      </c>
      <c r="B42" t="str">
        <f>IF(A42&lt;('2. Inputs and results'!$C$21+1),A42," ")</f>
        <v xml:space="preserve"> </v>
      </c>
      <c r="C42" s="4" t="str">
        <f>IF(A42&lt;('2. Inputs and results'!$C$21+1),'2. Inputs and results'!$C$99+'2. Inputs and results'!$C$101," ")</f>
        <v xml:space="preserve"> </v>
      </c>
      <c r="D42" s="4" t="e">
        <f>IF(A42&lt;('2. Inputs and results'!$C$21+1),D41+C42,NA())</f>
        <v>#N/A</v>
      </c>
      <c r="E42" s="4" t="str">
        <f>IF(A42&lt;('2. Inputs and results'!$C$21+1),C42/((1+$P$2)^A42)," ")</f>
        <v xml:space="preserve"> </v>
      </c>
      <c r="F42" s="4" t="str">
        <f>IF(B42&lt;('2. Inputs and results'!$C$21+1),F41+E42," ")</f>
        <v xml:space="preserve"> </v>
      </c>
      <c r="G42" s="4" t="str">
        <f>IF(A42&lt;('2. Inputs and results'!$C$21+1),G41*(1+'2. Inputs and results'!$C$44)," ")</f>
        <v xml:space="preserve"> </v>
      </c>
      <c r="H42" s="4" t="str">
        <f>IF(A42&lt;('2. Inputs and results'!$C$21+1),H41*(1+'2. Inputs and results'!$C$56)," ")</f>
        <v xml:space="preserve"> </v>
      </c>
      <c r="I42" s="4" t="str">
        <f>IF(A42&lt;('2. Inputs and results'!$C$21+1),I41*(1+'2. Inputs and results'!$C$32)," ")</f>
        <v xml:space="preserve"> </v>
      </c>
      <c r="J42" s="4" t="str">
        <f>IF(A42&lt;('2. Inputs and results'!$C$21+1),J41*(1+'2. Inputs and results'!$C$66)," ")</f>
        <v xml:space="preserve"> </v>
      </c>
      <c r="K42" s="4" t="e">
        <f>IF(A42&lt;('2. Inputs and results'!$C$21+1),K41+(G42+I42+H42+J42),NA())</f>
        <v>#N/A</v>
      </c>
      <c r="L42" s="4" t="e">
        <f>IF(A42&lt;('2. Inputs and results'!$C$21+1),L41,NA())</f>
        <v>#N/A</v>
      </c>
      <c r="M42" s="4" t="str">
        <f>IF(A42&lt;('2. Inputs and results'!$C$21+1),'2. Inputs and results'!$C$75*'2. Inputs and results'!$C$73," ")</f>
        <v xml:space="preserve"> </v>
      </c>
      <c r="N42" s="4" t="str">
        <f>IF(A42&lt;('2. Inputs and results'!$C$21+1),M42/((1+$P$2)^A42)," ")</f>
        <v xml:space="preserve"> </v>
      </c>
      <c r="O42" s="4" t="str">
        <f>IF(A42&lt;('2. Inputs and results'!$C$21+1),'2. Inputs and results'!$C$73*'2. Inputs and results'!$C$75+O41," ")</f>
        <v xml:space="preserve"> </v>
      </c>
      <c r="P42" s="4" t="str">
        <f>IF(A42&lt;('2. Inputs and results'!$C$21+1),(G42+I42+H42+J42)/((1+$P$2)^A42)," ")</f>
        <v xml:space="preserve"> </v>
      </c>
      <c r="Q42" s="4" t="str">
        <f>IF(A42&lt;('2. Inputs and results'!$C$21+1),Q41+P42," ")</f>
        <v xml:space="preserve"> </v>
      </c>
      <c r="R42" s="4" t="e">
        <f>IF(A42&lt;('2. Inputs and results'!$C$21+1),R41+G42+I42+H42+J42+T42-$V$6,NA())</f>
        <v>#N/A</v>
      </c>
      <c r="S42" s="4" t="str">
        <f>IF(A42&lt;('2. Inputs and results'!$C$21+1),'2. Inputs and results'!$C$79*(R41)," ")</f>
        <v xml:space="preserve"> </v>
      </c>
      <c r="T42" s="4">
        <f t="shared" si="1"/>
        <v>0</v>
      </c>
      <c r="U42" s="4" t="e">
        <f>IF(A42&lt;('2. Inputs and results'!$C$21+1),U41+((G42+I42+H42+J42-$V$6+T42)/((1+$P$2)^A42)),NA())</f>
        <v>#N/A</v>
      </c>
      <c r="V42" s="4" t="str">
        <f>IF(A42&lt;('2. Inputs and results'!$C$21+1),V41+('2. Inputs and results'!$C$75*'2. Inputs and results'!$C$73)," ")</f>
        <v xml:space="preserve"> </v>
      </c>
      <c r="W42" s="4" t="e">
        <f>IF(A42&lt;('2. Inputs and results'!$C$21+1),W41+C42+Y42-$V$6,NA())</f>
        <v>#N/A</v>
      </c>
      <c r="X42" s="4" t="str">
        <f>IF(A42&lt;('2. Inputs and results'!$C$21+1),'2. Inputs and results'!$C$79*(W41)," ")</f>
        <v xml:space="preserve"> </v>
      </c>
      <c r="Y42" s="4">
        <f t="shared" si="2"/>
        <v>0</v>
      </c>
      <c r="Z42" s="4" t="e">
        <f>IF(A42&lt;('2. Inputs and results'!$C$21+1),Z41+((C42-$V$6+Y42)/((1+$P$2)^A42)),NA())</f>
        <v>#N/A</v>
      </c>
      <c r="AA42" s="4" t="str">
        <f>IF(A42&lt;('2. Inputs and results'!$C$21+1),AA41+G42+I42+H42+T42-$V$6," ")</f>
        <v xml:space="preserve"> </v>
      </c>
      <c r="AB42" s="20" t="e">
        <f>IF(A42&lt;('2. Inputs and results'!$C$21+1),AA42/L42,NA())</f>
        <v>#N/A</v>
      </c>
      <c r="AC42" s="29" t="str">
        <f>IF(A42&lt;('2. Inputs and results'!$C$21+1),AC41+C42+Y42-$V$6," ")</f>
        <v xml:space="preserve"> </v>
      </c>
      <c r="AD42" s="20" t="e">
        <f>IF(A42&lt;('2. Inputs and results'!$C$21+1),AC42/L42,NA())</f>
        <v>#N/A</v>
      </c>
      <c r="AE42" t="str">
        <f>IF(A42&lt;('2. Inputs and results'!$C$21+1),-'2. Inputs and results'!$C$121*A42," ")</f>
        <v xml:space="preserve"> </v>
      </c>
      <c r="AF42" t="e">
        <f>IF(A42&lt;('2. Inputs and results'!$C$21+1),AE42/1000,NA())</f>
        <v>#N/A</v>
      </c>
    </row>
    <row r="43" spans="1:32" x14ac:dyDescent="0.25">
      <c r="A43">
        <f t="shared" si="0"/>
        <v>38</v>
      </c>
      <c r="B43" t="str">
        <f>IF(A43&lt;('2. Inputs and results'!$C$21+1),A43," ")</f>
        <v xml:space="preserve"> </v>
      </c>
      <c r="C43" s="4" t="str">
        <f>IF(A43&lt;('2. Inputs and results'!$C$21+1),'2. Inputs and results'!$C$99+'2. Inputs and results'!$C$101," ")</f>
        <v xml:space="preserve"> </v>
      </c>
      <c r="D43" s="4" t="e">
        <f>IF(A43&lt;('2. Inputs and results'!$C$21+1),D42+C43,NA())</f>
        <v>#N/A</v>
      </c>
      <c r="E43" s="4" t="str">
        <f>IF(A43&lt;('2. Inputs and results'!$C$21+1),C43/((1+$P$2)^A43)," ")</f>
        <v xml:space="preserve"> </v>
      </c>
      <c r="F43" s="4" t="str">
        <f>IF(B43&lt;('2. Inputs and results'!$C$21+1),F42+E43," ")</f>
        <v xml:space="preserve"> </v>
      </c>
      <c r="G43" s="4" t="str">
        <f>IF(A43&lt;('2. Inputs and results'!$C$21+1),G42*(1+'2. Inputs and results'!$C$44)," ")</f>
        <v xml:space="preserve"> </v>
      </c>
      <c r="H43" s="4" t="str">
        <f>IF(A43&lt;('2. Inputs and results'!$C$21+1),H42*(1+'2. Inputs and results'!$C$56)," ")</f>
        <v xml:space="preserve"> </v>
      </c>
      <c r="I43" s="4" t="str">
        <f>IF(A43&lt;('2. Inputs and results'!$C$21+1),I42*(1+'2. Inputs and results'!$C$32)," ")</f>
        <v xml:space="preserve"> </v>
      </c>
      <c r="J43" s="4" t="str">
        <f>IF(A43&lt;('2. Inputs and results'!$C$21+1),J42*(1+'2. Inputs and results'!$C$66)," ")</f>
        <v xml:space="preserve"> </v>
      </c>
      <c r="K43" s="4" t="e">
        <f>IF(A43&lt;('2. Inputs and results'!$C$21+1),K42+(G43+I43+H43+J43),NA())</f>
        <v>#N/A</v>
      </c>
      <c r="L43" s="4" t="e">
        <f>IF(A43&lt;('2. Inputs and results'!$C$21+1),L42,NA())</f>
        <v>#N/A</v>
      </c>
      <c r="M43" s="4" t="str">
        <f>IF(A43&lt;('2. Inputs and results'!$C$21+1),'2. Inputs and results'!$C$75*'2. Inputs and results'!$C$73," ")</f>
        <v xml:space="preserve"> </v>
      </c>
      <c r="N43" s="4" t="str">
        <f>IF(A43&lt;('2. Inputs and results'!$C$21+1),M43/((1+$P$2)^A43)," ")</f>
        <v xml:space="preserve"> </v>
      </c>
      <c r="O43" s="4" t="str">
        <f>IF(A43&lt;('2. Inputs and results'!$C$21+1),'2. Inputs and results'!$C$73*'2. Inputs and results'!$C$75+O42," ")</f>
        <v xml:space="preserve"> </v>
      </c>
      <c r="P43" s="4" t="str">
        <f>IF(A43&lt;('2. Inputs and results'!$C$21+1),(G43+I43+H43+J43)/((1+$P$2)^A43)," ")</f>
        <v xml:space="preserve"> </v>
      </c>
      <c r="Q43" s="4" t="str">
        <f>IF(A43&lt;('2. Inputs and results'!$C$21+1),Q42+P43," ")</f>
        <v xml:space="preserve"> </v>
      </c>
      <c r="R43" s="4" t="e">
        <f>IF(A43&lt;('2. Inputs and results'!$C$21+1),R42+G43+I43+H43+J43+T43-$V$6,NA())</f>
        <v>#N/A</v>
      </c>
      <c r="S43" s="4" t="str">
        <f>IF(A43&lt;('2. Inputs and results'!$C$21+1),'2. Inputs and results'!$C$79*(R42)," ")</f>
        <v xml:space="preserve"> </v>
      </c>
      <c r="T43" s="4">
        <f t="shared" si="1"/>
        <v>0</v>
      </c>
      <c r="U43" s="4" t="e">
        <f>IF(A43&lt;('2. Inputs and results'!$C$21+1),U42+((G43+I43+H43+J43-$V$6+T43)/((1+$P$2)^A43)),NA())</f>
        <v>#N/A</v>
      </c>
      <c r="V43" s="4" t="str">
        <f>IF(A43&lt;('2. Inputs and results'!$C$21+1),V42+('2. Inputs and results'!$C$75*'2. Inputs and results'!$C$73)," ")</f>
        <v xml:space="preserve"> </v>
      </c>
      <c r="W43" s="4" t="e">
        <f>IF(A43&lt;('2. Inputs and results'!$C$21+1),W42+C43+Y43-$V$6,NA())</f>
        <v>#N/A</v>
      </c>
      <c r="X43" s="4" t="str">
        <f>IF(A43&lt;('2. Inputs and results'!$C$21+1),'2. Inputs and results'!$C$79*(W42)," ")</f>
        <v xml:space="preserve"> </v>
      </c>
      <c r="Y43" s="4">
        <f t="shared" si="2"/>
        <v>0</v>
      </c>
      <c r="Z43" s="4" t="e">
        <f>IF(A43&lt;('2. Inputs and results'!$C$21+1),Z42+((C43-$V$6+Y43)/((1+$P$2)^A43)),NA())</f>
        <v>#N/A</v>
      </c>
      <c r="AA43" s="4" t="str">
        <f>IF(A43&lt;('2. Inputs and results'!$C$21+1),AA42+G43+I43+H43+T43-$V$6," ")</f>
        <v xml:space="preserve"> </v>
      </c>
      <c r="AB43" s="20" t="e">
        <f>IF(A43&lt;('2. Inputs and results'!$C$21+1),AA43/L43,NA())</f>
        <v>#N/A</v>
      </c>
      <c r="AC43" s="29" t="str">
        <f>IF(A43&lt;('2. Inputs and results'!$C$21+1),AC42+C43+Y43-$V$6," ")</f>
        <v xml:space="preserve"> </v>
      </c>
      <c r="AD43" s="20" t="e">
        <f>IF(A43&lt;('2. Inputs and results'!$C$21+1),AC43/L43,NA())</f>
        <v>#N/A</v>
      </c>
      <c r="AE43" t="str">
        <f>IF(A43&lt;('2. Inputs and results'!$C$21+1),-'2. Inputs and results'!$C$121*A43," ")</f>
        <v xml:space="preserve"> </v>
      </c>
      <c r="AF43" t="e">
        <f>IF(A43&lt;('2. Inputs and results'!$C$21+1),AE43/1000,NA())</f>
        <v>#N/A</v>
      </c>
    </row>
    <row r="44" spans="1:32" x14ac:dyDescent="0.25">
      <c r="A44">
        <f t="shared" si="0"/>
        <v>39</v>
      </c>
      <c r="B44" t="str">
        <f>IF(A44&lt;('2. Inputs and results'!$C$21+1),A44," ")</f>
        <v xml:space="preserve"> </v>
      </c>
      <c r="C44" s="4" t="str">
        <f>IF(A44&lt;('2. Inputs and results'!$C$21+1),'2. Inputs and results'!$C$99+'2. Inputs and results'!$C$101," ")</f>
        <v xml:space="preserve"> </v>
      </c>
      <c r="D44" s="4" t="e">
        <f>IF(A44&lt;('2. Inputs and results'!$C$21+1),D43+C44,NA())</f>
        <v>#N/A</v>
      </c>
      <c r="E44" s="4" t="str">
        <f>IF(A44&lt;('2. Inputs and results'!$C$21+1),C44/((1+$P$2)^A44)," ")</f>
        <v xml:space="preserve"> </v>
      </c>
      <c r="F44" s="4" t="str">
        <f>IF(B44&lt;('2. Inputs and results'!$C$21+1),F43+E44," ")</f>
        <v xml:space="preserve"> </v>
      </c>
      <c r="G44" s="4" t="str">
        <f>IF(A44&lt;('2. Inputs and results'!$C$21+1),G43*(1+'2. Inputs and results'!$C$44)," ")</f>
        <v xml:space="preserve"> </v>
      </c>
      <c r="H44" s="4" t="str">
        <f>IF(A44&lt;('2. Inputs and results'!$C$21+1),H43*(1+'2. Inputs and results'!$C$56)," ")</f>
        <v xml:space="preserve"> </v>
      </c>
      <c r="I44" s="4" t="str">
        <f>IF(A44&lt;('2. Inputs and results'!$C$21+1),I43*(1+'2. Inputs and results'!$C$32)," ")</f>
        <v xml:space="preserve"> </v>
      </c>
      <c r="J44" s="4" t="str">
        <f>IF(A44&lt;('2. Inputs and results'!$C$21+1),J43*(1+'2. Inputs and results'!$C$66)," ")</f>
        <v xml:space="preserve"> </v>
      </c>
      <c r="K44" s="4" t="e">
        <f>IF(A44&lt;('2. Inputs and results'!$C$21+1),K43+(G44+I44+H44+J44),NA())</f>
        <v>#N/A</v>
      </c>
      <c r="L44" s="4" t="e">
        <f>IF(A44&lt;('2. Inputs and results'!$C$21+1),L43,NA())</f>
        <v>#N/A</v>
      </c>
      <c r="M44" s="4" t="str">
        <f>IF(A44&lt;('2. Inputs and results'!$C$21+1),'2. Inputs and results'!$C$75*'2. Inputs and results'!$C$73," ")</f>
        <v xml:space="preserve"> </v>
      </c>
      <c r="N44" s="4" t="str">
        <f>IF(A44&lt;('2. Inputs and results'!$C$21+1),M44/((1+$P$2)^A44)," ")</f>
        <v xml:space="preserve"> </v>
      </c>
      <c r="O44" s="4" t="str">
        <f>IF(A44&lt;('2. Inputs and results'!$C$21+1),'2. Inputs and results'!$C$73*'2. Inputs and results'!$C$75+O43," ")</f>
        <v xml:space="preserve"> </v>
      </c>
      <c r="P44" s="4" t="str">
        <f>IF(A44&lt;('2. Inputs and results'!$C$21+1),(G44+I44+H44+J44)/((1+$P$2)^A44)," ")</f>
        <v xml:space="preserve"> </v>
      </c>
      <c r="Q44" s="4" t="str">
        <f>IF(A44&lt;('2. Inputs and results'!$C$21+1),Q43+P44," ")</f>
        <v xml:space="preserve"> </v>
      </c>
      <c r="R44" s="4" t="e">
        <f>IF(A44&lt;('2. Inputs and results'!$C$21+1),R43+G44+I44+H44+J44+T44-$V$6,NA())</f>
        <v>#N/A</v>
      </c>
      <c r="S44" s="4" t="str">
        <f>IF(A44&lt;('2. Inputs and results'!$C$21+1),'2. Inputs and results'!$C$79*(R43)," ")</f>
        <v xml:space="preserve"> </v>
      </c>
      <c r="T44" s="4">
        <f t="shared" si="1"/>
        <v>0</v>
      </c>
      <c r="U44" s="4" t="e">
        <f>IF(A44&lt;('2. Inputs and results'!$C$21+1),U43+((G44+I44+H44+J44-$V$6+T44)/((1+$P$2)^A44)),NA())</f>
        <v>#N/A</v>
      </c>
      <c r="V44" s="4" t="str">
        <f>IF(A44&lt;('2. Inputs and results'!$C$21+1),V43+('2. Inputs and results'!$C$75*'2. Inputs and results'!$C$73)," ")</f>
        <v xml:space="preserve"> </v>
      </c>
      <c r="W44" s="4" t="e">
        <f>IF(A44&lt;('2. Inputs and results'!$C$21+1),W43+C44+Y44-$V$6,NA())</f>
        <v>#N/A</v>
      </c>
      <c r="X44" s="4" t="str">
        <f>IF(A44&lt;('2. Inputs and results'!$C$21+1),'2. Inputs and results'!$C$79*(W43)," ")</f>
        <v xml:space="preserve"> </v>
      </c>
      <c r="Y44" s="4">
        <f t="shared" si="2"/>
        <v>0</v>
      </c>
      <c r="Z44" s="4" t="e">
        <f>IF(A44&lt;('2. Inputs and results'!$C$21+1),Z43+((C44-$V$6+Y44)/((1+$P$2)^A44)),NA())</f>
        <v>#N/A</v>
      </c>
      <c r="AA44" s="4" t="str">
        <f>IF(A44&lt;('2. Inputs and results'!$C$21+1),AA43+G44+I44+H44+T44-$V$6," ")</f>
        <v xml:space="preserve"> </v>
      </c>
      <c r="AB44" s="20" t="e">
        <f>IF(A44&lt;('2. Inputs and results'!$C$21+1),AA44/L44,NA())</f>
        <v>#N/A</v>
      </c>
      <c r="AC44" s="29" t="str">
        <f>IF(A44&lt;('2. Inputs and results'!$C$21+1),AC43+C44+Y44-$V$6," ")</f>
        <v xml:space="preserve"> </v>
      </c>
      <c r="AD44" s="20" t="e">
        <f>IF(A44&lt;('2. Inputs and results'!$C$21+1),AC44/L44,NA())</f>
        <v>#N/A</v>
      </c>
      <c r="AE44" t="str">
        <f>IF(A44&lt;('2. Inputs and results'!$C$21+1),-'2. Inputs and results'!$C$121*A44," ")</f>
        <v xml:space="preserve"> </v>
      </c>
      <c r="AF44" t="e">
        <f>IF(A44&lt;('2. Inputs and results'!$C$21+1),AE44/1000,NA())</f>
        <v>#N/A</v>
      </c>
    </row>
    <row r="45" spans="1:32" x14ac:dyDescent="0.25">
      <c r="A45">
        <f t="shared" si="0"/>
        <v>40</v>
      </c>
      <c r="B45" t="str">
        <f>IF(A45&lt;('2. Inputs and results'!$C$21+1),A45," ")</f>
        <v xml:space="preserve"> </v>
      </c>
      <c r="C45" s="4" t="str">
        <f>IF(A45&lt;('2. Inputs and results'!$C$21+1),'2. Inputs and results'!$C$99+'2. Inputs and results'!$C$101," ")</f>
        <v xml:space="preserve"> </v>
      </c>
      <c r="D45" s="4" t="e">
        <f>IF(A45&lt;('2. Inputs and results'!$C$21+1),D44+C45,NA())</f>
        <v>#N/A</v>
      </c>
      <c r="E45" s="4" t="str">
        <f>IF(A45&lt;('2. Inputs and results'!$C$21+1),C45/((1+$P$2)^A45)," ")</f>
        <v xml:space="preserve"> </v>
      </c>
      <c r="F45" s="4" t="str">
        <f>IF(B45&lt;('2. Inputs and results'!$C$21+1),F44+E45," ")</f>
        <v xml:space="preserve"> </v>
      </c>
      <c r="G45" s="4" t="str">
        <f>IF(A45&lt;('2. Inputs and results'!$C$21+1),G44*(1+'2. Inputs and results'!$C$44)," ")</f>
        <v xml:space="preserve"> </v>
      </c>
      <c r="H45" s="4" t="str">
        <f>IF(A45&lt;('2. Inputs and results'!$C$21+1),H44*(1+'2. Inputs and results'!$C$56)," ")</f>
        <v xml:space="preserve"> </v>
      </c>
      <c r="I45" s="4" t="str">
        <f>IF(A45&lt;('2. Inputs and results'!$C$21+1),I44*(1+'2. Inputs and results'!$C$32)," ")</f>
        <v xml:space="preserve"> </v>
      </c>
      <c r="J45" s="4" t="str">
        <f>IF(A45&lt;('2. Inputs and results'!$C$21+1),J44*(1+'2. Inputs and results'!$C$66)," ")</f>
        <v xml:space="preserve"> </v>
      </c>
      <c r="K45" s="4" t="e">
        <f>IF(A45&lt;('2. Inputs and results'!$C$21+1),K44+(G45+I45+H45+J45),NA())</f>
        <v>#N/A</v>
      </c>
      <c r="L45" s="4" t="e">
        <f>IF(A45&lt;('2. Inputs and results'!$C$21+1),L44,NA())</f>
        <v>#N/A</v>
      </c>
      <c r="M45" s="4" t="str">
        <f>IF(A45&lt;('2. Inputs and results'!$C$21+1),'2. Inputs and results'!$C$75*'2. Inputs and results'!$C$73," ")</f>
        <v xml:space="preserve"> </v>
      </c>
      <c r="N45" s="4" t="str">
        <f>IF(A45&lt;('2. Inputs and results'!$C$21+1),M45/((1+$P$2)^A45)," ")</f>
        <v xml:space="preserve"> </v>
      </c>
      <c r="O45" s="4" t="str">
        <f>IF(A45&lt;('2. Inputs and results'!$C$21+1),'2. Inputs and results'!$C$73*'2. Inputs and results'!$C$75+O44," ")</f>
        <v xml:space="preserve"> </v>
      </c>
      <c r="P45" s="4" t="str">
        <f>IF(A45&lt;('2. Inputs and results'!$C$21+1),(G45+I45+H45+J45)/((1+$P$2)^A45)," ")</f>
        <v xml:space="preserve"> </v>
      </c>
      <c r="Q45" s="4" t="str">
        <f>IF(A45&lt;('2. Inputs and results'!$C$21+1),Q44+P45," ")</f>
        <v xml:space="preserve"> </v>
      </c>
      <c r="R45" s="4" t="e">
        <f>IF(A45&lt;('2. Inputs and results'!$C$21+1),R44+G45+I45+H45+J45+T45-$V$6,NA())</f>
        <v>#N/A</v>
      </c>
      <c r="S45" s="4" t="str">
        <f>IF(A45&lt;('2. Inputs and results'!$C$21+1),'2. Inputs and results'!$C$79*(R44)," ")</f>
        <v xml:space="preserve"> </v>
      </c>
      <c r="T45" s="4">
        <f t="shared" si="1"/>
        <v>0</v>
      </c>
      <c r="U45" s="4" t="e">
        <f>IF(A45&lt;('2. Inputs and results'!$C$21+1),U44+((G45+I45+H45+J45-$V$6+T45)/((1+$P$2)^A45)),NA())</f>
        <v>#N/A</v>
      </c>
      <c r="V45" s="4" t="str">
        <f>IF(A45&lt;('2. Inputs and results'!$C$21+1),V44+('2. Inputs and results'!$C$75*'2. Inputs and results'!$C$73)," ")</f>
        <v xml:space="preserve"> </v>
      </c>
      <c r="W45" s="4" t="e">
        <f>IF(A45&lt;('2. Inputs and results'!$C$21+1),W44+C45+Y45-$V$6,NA())</f>
        <v>#N/A</v>
      </c>
      <c r="X45" s="4" t="str">
        <f>IF(A45&lt;('2. Inputs and results'!$C$21+1),'2. Inputs and results'!$C$79*(W44)," ")</f>
        <v xml:space="preserve"> </v>
      </c>
      <c r="Y45" s="4">
        <f t="shared" si="2"/>
        <v>0</v>
      </c>
      <c r="Z45" s="4" t="e">
        <f>IF(A45&lt;('2. Inputs and results'!$C$21+1),Z44+((C45-$V$6+Y45)/((1+$P$2)^A45)),NA())</f>
        <v>#N/A</v>
      </c>
      <c r="AA45" s="4" t="str">
        <f>IF(A45&lt;('2. Inputs and results'!$C$21+1),AA44+G45+I45+H45+T45-$V$6," ")</f>
        <v xml:space="preserve"> </v>
      </c>
      <c r="AB45" s="20" t="e">
        <f>IF(A45&lt;('2. Inputs and results'!$C$21+1),AA45/L45,NA())</f>
        <v>#N/A</v>
      </c>
      <c r="AC45" s="29" t="str">
        <f>IF(A45&lt;('2. Inputs and results'!$C$21+1),AC44+C45+Y45-$V$6," ")</f>
        <v xml:space="preserve"> </v>
      </c>
      <c r="AD45" s="20" t="e">
        <f>IF(A45&lt;('2. Inputs and results'!$C$21+1),AC45/L45,NA())</f>
        <v>#N/A</v>
      </c>
      <c r="AE45" t="str">
        <f>IF(A45&lt;('2. Inputs and results'!$C$21+1),-'2. Inputs and results'!$C$121*A45," ")</f>
        <v xml:space="preserve"> </v>
      </c>
      <c r="AF45" t="e">
        <f>IF(A45&lt;('2. Inputs and results'!$C$21+1),AE45/1000,NA())</f>
        <v>#N/A</v>
      </c>
    </row>
    <row r="46" spans="1:32" x14ac:dyDescent="0.25">
      <c r="A46">
        <f t="shared" si="0"/>
        <v>41</v>
      </c>
      <c r="B46" t="str">
        <f>IF(A46&lt;('2. Inputs and results'!$C$21+1),A46," ")</f>
        <v xml:space="preserve"> </v>
      </c>
      <c r="C46" s="4" t="str">
        <f>IF(A46&lt;('2. Inputs and results'!$C$21+1),'2. Inputs and results'!$C$99+'2. Inputs and results'!$C$101," ")</f>
        <v xml:space="preserve"> </v>
      </c>
      <c r="D46" s="4" t="e">
        <f>IF(A46&lt;('2. Inputs and results'!$C$21+1),D45+C46,NA())</f>
        <v>#N/A</v>
      </c>
      <c r="E46" s="4" t="str">
        <f>IF(A46&lt;('2. Inputs and results'!$C$21+1),C46/((1+$P$2)^A46)," ")</f>
        <v xml:space="preserve"> </v>
      </c>
      <c r="F46" s="4" t="str">
        <f>IF(B46&lt;('2. Inputs and results'!$C$21+1),F45+E46," ")</f>
        <v xml:space="preserve"> </v>
      </c>
      <c r="G46" s="4" t="str">
        <f>IF(A46&lt;('2. Inputs and results'!$C$21+1),G45*(1+'2. Inputs and results'!$C$44)," ")</f>
        <v xml:space="preserve"> </v>
      </c>
      <c r="H46" s="4" t="str">
        <f>IF(A46&lt;('2. Inputs and results'!$C$21+1),H45*(1+'2. Inputs and results'!$C$56)," ")</f>
        <v xml:space="preserve"> </v>
      </c>
      <c r="I46" s="4" t="str">
        <f>IF(A46&lt;('2. Inputs and results'!$C$21+1),I45*(1+'2. Inputs and results'!$C$32)," ")</f>
        <v xml:space="preserve"> </v>
      </c>
      <c r="J46" s="4" t="str">
        <f>IF(A46&lt;('2. Inputs and results'!$C$21+1),J45*(1+'2. Inputs and results'!$C$66)," ")</f>
        <v xml:space="preserve"> </v>
      </c>
      <c r="K46" s="4" t="e">
        <f>IF(A46&lt;('2. Inputs and results'!$C$21+1),K45+(G46+I46+H46+J46),NA())</f>
        <v>#N/A</v>
      </c>
      <c r="L46" s="4" t="e">
        <f>IF(A46&lt;('2. Inputs and results'!$C$21+1),L45,NA())</f>
        <v>#N/A</v>
      </c>
      <c r="M46" s="4" t="str">
        <f>IF(A46&lt;('2. Inputs and results'!$C$21+1),'2. Inputs and results'!$C$75*'2. Inputs and results'!$C$73," ")</f>
        <v xml:space="preserve"> </v>
      </c>
      <c r="N46" s="4" t="str">
        <f>IF(A46&lt;('2. Inputs and results'!$C$21+1),M46/((1+$P$2)^A46)," ")</f>
        <v xml:space="preserve"> </v>
      </c>
      <c r="O46" s="4" t="str">
        <f>IF(A46&lt;('2. Inputs and results'!$C$21+1),'2. Inputs and results'!$C$73*'2. Inputs and results'!$C$75+O45," ")</f>
        <v xml:space="preserve"> </v>
      </c>
      <c r="P46" s="4" t="str">
        <f>IF(A46&lt;('2. Inputs and results'!$C$21+1),(G46+I46+H46+J46)/((1+$P$2)^A46)," ")</f>
        <v xml:space="preserve"> </v>
      </c>
      <c r="Q46" s="4" t="str">
        <f>IF(A46&lt;('2. Inputs and results'!$C$21+1),Q45+P46," ")</f>
        <v xml:space="preserve"> </v>
      </c>
      <c r="R46" s="4" t="e">
        <f>IF(A46&lt;('2. Inputs and results'!$C$21+1),R45+G46+I46+H46+J46+T46-$V$6,NA())</f>
        <v>#N/A</v>
      </c>
      <c r="S46" s="4" t="str">
        <f>IF(A46&lt;('2. Inputs and results'!$C$21+1),'2. Inputs and results'!$C$79*(R45)," ")</f>
        <v xml:space="preserve"> </v>
      </c>
      <c r="T46" s="4">
        <f t="shared" si="1"/>
        <v>0</v>
      </c>
      <c r="U46" s="4" t="e">
        <f>IF(A46&lt;('2. Inputs and results'!$C$21+1),U45+((G46+I46+H46+J46-$V$6+T46)/((1+$P$2)^A46)),NA())</f>
        <v>#N/A</v>
      </c>
      <c r="V46" s="4" t="str">
        <f>IF(A46&lt;('2. Inputs and results'!$C$21+1),V45+('2. Inputs and results'!$C$75*'2. Inputs and results'!$C$73)," ")</f>
        <v xml:space="preserve"> </v>
      </c>
      <c r="W46" s="4" t="e">
        <f>IF(A46&lt;('2. Inputs and results'!$C$21+1),W45+C46+Y46-$V$6,NA())</f>
        <v>#N/A</v>
      </c>
      <c r="X46" s="4" t="str">
        <f>IF(A46&lt;('2. Inputs and results'!$C$21+1),'2. Inputs and results'!$C$79*(W45)," ")</f>
        <v xml:space="preserve"> </v>
      </c>
      <c r="Y46" s="4">
        <f t="shared" si="2"/>
        <v>0</v>
      </c>
      <c r="Z46" s="4" t="e">
        <f>IF(A46&lt;('2. Inputs and results'!$C$21+1),Z45+((C46-$V$6+Y46)/((1+$P$2)^A46)),NA())</f>
        <v>#N/A</v>
      </c>
      <c r="AA46" s="4" t="str">
        <f>IF(A46&lt;('2. Inputs and results'!$C$21+1),AA45+G46+I46+H46+T46-$V$6," ")</f>
        <v xml:space="preserve"> </v>
      </c>
      <c r="AB46" s="20" t="e">
        <f>IF(A46&lt;('2. Inputs and results'!$C$21+1),AA46/L46,NA())</f>
        <v>#N/A</v>
      </c>
      <c r="AC46" s="29" t="str">
        <f>IF(A46&lt;('2. Inputs and results'!$C$21+1),AC45+C46+Y46-$V$6," ")</f>
        <v xml:space="preserve"> </v>
      </c>
      <c r="AD46" s="20" t="e">
        <f>IF(A46&lt;('2. Inputs and results'!$C$21+1),AC46/L46,NA())</f>
        <v>#N/A</v>
      </c>
      <c r="AE46" t="str">
        <f>IF(A46&lt;('2. Inputs and results'!$C$21+1),-'2. Inputs and results'!$C$121*A46," ")</f>
        <v xml:space="preserve"> </v>
      </c>
      <c r="AF46" t="e">
        <f>IF(A46&lt;('2. Inputs and results'!$C$21+1),AE46/1000,NA())</f>
        <v>#N/A</v>
      </c>
    </row>
    <row r="47" spans="1:32" x14ac:dyDescent="0.25">
      <c r="A47">
        <f t="shared" si="0"/>
        <v>42</v>
      </c>
      <c r="B47" t="str">
        <f>IF(A47&lt;('2. Inputs and results'!$C$21+1),A47," ")</f>
        <v xml:space="preserve"> </v>
      </c>
      <c r="C47" s="4" t="str">
        <f>IF(A47&lt;('2. Inputs and results'!$C$21+1),'2. Inputs and results'!$C$99+'2. Inputs and results'!$C$101," ")</f>
        <v xml:space="preserve"> </v>
      </c>
      <c r="D47" s="4" t="e">
        <f>IF(A47&lt;('2. Inputs and results'!$C$21+1),D46+C47,NA())</f>
        <v>#N/A</v>
      </c>
      <c r="E47" s="4" t="str">
        <f>IF(A47&lt;('2. Inputs and results'!$C$21+1),C47/((1+$P$2)^A47)," ")</f>
        <v xml:space="preserve"> </v>
      </c>
      <c r="F47" s="4" t="str">
        <f>IF(B47&lt;('2. Inputs and results'!$C$21+1),F46+E47," ")</f>
        <v xml:space="preserve"> </v>
      </c>
      <c r="G47" s="4" t="str">
        <f>IF(A47&lt;('2. Inputs and results'!$C$21+1),G46*(1+'2. Inputs and results'!$C$44)," ")</f>
        <v xml:space="preserve"> </v>
      </c>
      <c r="H47" s="4" t="str">
        <f>IF(A47&lt;('2. Inputs and results'!$C$21+1),H46*(1+'2. Inputs and results'!$C$56)," ")</f>
        <v xml:space="preserve"> </v>
      </c>
      <c r="I47" s="4" t="str">
        <f>IF(A47&lt;('2. Inputs and results'!$C$21+1),I46*(1+'2. Inputs and results'!$C$32)," ")</f>
        <v xml:space="preserve"> </v>
      </c>
      <c r="J47" s="4" t="str">
        <f>IF(A47&lt;('2. Inputs and results'!$C$21+1),J46*(1+'2. Inputs and results'!$C$66)," ")</f>
        <v xml:space="preserve"> </v>
      </c>
      <c r="K47" s="4" t="e">
        <f>IF(A47&lt;('2. Inputs and results'!$C$21+1),K46+(G47+I47+H47+J47),NA())</f>
        <v>#N/A</v>
      </c>
      <c r="L47" s="4" t="e">
        <f>IF(A47&lt;('2. Inputs and results'!$C$21+1),L46,NA())</f>
        <v>#N/A</v>
      </c>
      <c r="M47" s="4" t="str">
        <f>IF(A47&lt;('2. Inputs and results'!$C$21+1),'2. Inputs and results'!$C$75*'2. Inputs and results'!$C$73," ")</f>
        <v xml:space="preserve"> </v>
      </c>
      <c r="N47" s="4" t="str">
        <f>IF(A47&lt;('2. Inputs and results'!$C$21+1),M47/((1+$P$2)^A47)," ")</f>
        <v xml:space="preserve"> </v>
      </c>
      <c r="O47" s="4" t="str">
        <f>IF(A47&lt;('2. Inputs and results'!$C$21+1),'2. Inputs and results'!$C$73*'2. Inputs and results'!$C$75+O46," ")</f>
        <v xml:space="preserve"> </v>
      </c>
      <c r="P47" s="4" t="str">
        <f>IF(A47&lt;('2. Inputs and results'!$C$21+1),(G47+I47+H47+J47)/((1+$P$2)^A47)," ")</f>
        <v xml:space="preserve"> </v>
      </c>
      <c r="Q47" s="4" t="str">
        <f>IF(A47&lt;('2. Inputs and results'!$C$21+1),Q46+P47," ")</f>
        <v xml:space="preserve"> </v>
      </c>
      <c r="R47" s="4" t="e">
        <f>IF(A47&lt;('2. Inputs and results'!$C$21+1),R46+G47+I47+H47+J47+T47-$V$6,NA())</f>
        <v>#N/A</v>
      </c>
      <c r="S47" s="4" t="str">
        <f>IF(A47&lt;('2. Inputs and results'!$C$21+1),'2. Inputs and results'!$C$79*(R46)," ")</f>
        <v xml:space="preserve"> </v>
      </c>
      <c r="T47" s="4">
        <f t="shared" si="1"/>
        <v>0</v>
      </c>
      <c r="U47" s="4" t="e">
        <f>IF(A47&lt;('2. Inputs and results'!$C$21+1),U46+((G47+I47+H47+J47-$V$6+T47)/((1+$P$2)^A47)),NA())</f>
        <v>#N/A</v>
      </c>
      <c r="V47" s="4" t="str">
        <f>IF(A47&lt;('2. Inputs and results'!$C$21+1),V46+('2. Inputs and results'!$C$75*'2. Inputs and results'!$C$73)," ")</f>
        <v xml:space="preserve"> </v>
      </c>
      <c r="W47" s="4" t="e">
        <f>IF(A47&lt;('2. Inputs and results'!$C$21+1),W46+C47+Y47-$V$6,NA())</f>
        <v>#N/A</v>
      </c>
      <c r="X47" s="4" t="str">
        <f>IF(A47&lt;('2. Inputs and results'!$C$21+1),'2. Inputs and results'!$C$79*(W46)," ")</f>
        <v xml:space="preserve"> </v>
      </c>
      <c r="Y47" s="4">
        <f t="shared" si="2"/>
        <v>0</v>
      </c>
      <c r="Z47" s="4" t="e">
        <f>IF(A47&lt;('2. Inputs and results'!$C$21+1),Z46+((C47-$V$6+Y47)/((1+$P$2)^A47)),NA())</f>
        <v>#N/A</v>
      </c>
      <c r="AA47" s="4" t="str">
        <f>IF(A47&lt;('2. Inputs and results'!$C$21+1),AA46+G47+I47+H47+T47-$V$6," ")</f>
        <v xml:space="preserve"> </v>
      </c>
      <c r="AB47" s="20" t="e">
        <f>IF(A47&lt;('2. Inputs and results'!$C$21+1),AA47/L47,NA())</f>
        <v>#N/A</v>
      </c>
      <c r="AC47" s="29" t="str">
        <f>IF(A47&lt;('2. Inputs and results'!$C$21+1),AC46+C47+Y47-$V$6," ")</f>
        <v xml:space="preserve"> </v>
      </c>
      <c r="AD47" s="20" t="e">
        <f>IF(A47&lt;('2. Inputs and results'!$C$21+1),AC47/L47,NA())</f>
        <v>#N/A</v>
      </c>
      <c r="AE47" t="str">
        <f>IF(A47&lt;('2. Inputs and results'!$C$21+1),-'2. Inputs and results'!$C$121*A47," ")</f>
        <v xml:space="preserve"> </v>
      </c>
      <c r="AF47" t="e">
        <f>IF(A47&lt;('2. Inputs and results'!$C$21+1),AE47/1000,NA())</f>
        <v>#N/A</v>
      </c>
    </row>
    <row r="48" spans="1:32" x14ac:dyDescent="0.25">
      <c r="A48">
        <f t="shared" si="0"/>
        <v>43</v>
      </c>
      <c r="B48" t="str">
        <f>IF(A48&lt;('2. Inputs and results'!$C$21+1),A48," ")</f>
        <v xml:space="preserve"> </v>
      </c>
      <c r="C48" s="4" t="str">
        <f>IF(A48&lt;('2. Inputs and results'!$C$21+1),'2. Inputs and results'!$C$99+'2. Inputs and results'!$C$101," ")</f>
        <v xml:space="preserve"> </v>
      </c>
      <c r="D48" s="4" t="e">
        <f>IF(A48&lt;('2. Inputs and results'!$C$21+1),D47+C48,NA())</f>
        <v>#N/A</v>
      </c>
      <c r="E48" s="4" t="str">
        <f>IF(A48&lt;('2. Inputs and results'!$C$21+1),C48/((1+$P$2)^A48)," ")</f>
        <v xml:space="preserve"> </v>
      </c>
      <c r="F48" s="4" t="str">
        <f>IF(B48&lt;('2. Inputs and results'!$C$21+1),F47+E48," ")</f>
        <v xml:space="preserve"> </v>
      </c>
      <c r="G48" s="4" t="str">
        <f>IF(A48&lt;('2. Inputs and results'!$C$21+1),G47*(1+'2. Inputs and results'!$C$44)," ")</f>
        <v xml:space="preserve"> </v>
      </c>
      <c r="H48" s="4" t="str">
        <f>IF(A48&lt;('2. Inputs and results'!$C$21+1),H47*(1+'2. Inputs and results'!$C$56)," ")</f>
        <v xml:space="preserve"> </v>
      </c>
      <c r="I48" s="4" t="str">
        <f>IF(A48&lt;('2. Inputs and results'!$C$21+1),I47*(1+'2. Inputs and results'!$C$32)," ")</f>
        <v xml:space="preserve"> </v>
      </c>
      <c r="J48" s="4" t="str">
        <f>IF(A48&lt;('2. Inputs and results'!$C$21+1),J47*(1+'2. Inputs and results'!$C$66)," ")</f>
        <v xml:space="preserve"> </v>
      </c>
      <c r="K48" s="4" t="e">
        <f>IF(A48&lt;('2. Inputs and results'!$C$21+1),K47+(G48+I48+H48+J48),NA())</f>
        <v>#N/A</v>
      </c>
      <c r="L48" s="4" t="e">
        <f>IF(A48&lt;('2. Inputs and results'!$C$21+1),L47,NA())</f>
        <v>#N/A</v>
      </c>
      <c r="M48" s="4" t="str">
        <f>IF(A48&lt;('2. Inputs and results'!$C$21+1),'2. Inputs and results'!$C$75*'2. Inputs and results'!$C$73," ")</f>
        <v xml:space="preserve"> </v>
      </c>
      <c r="N48" s="4" t="str">
        <f>IF(A48&lt;('2. Inputs and results'!$C$21+1),M48/((1+$P$2)^A48)," ")</f>
        <v xml:space="preserve"> </v>
      </c>
      <c r="O48" s="4" t="str">
        <f>IF(A48&lt;('2. Inputs and results'!$C$21+1),'2. Inputs and results'!$C$73*'2. Inputs and results'!$C$75+O47," ")</f>
        <v xml:space="preserve"> </v>
      </c>
      <c r="P48" s="4" t="str">
        <f>IF(A48&lt;('2. Inputs and results'!$C$21+1),(G48+I48+H48+J48)/((1+$P$2)^A48)," ")</f>
        <v xml:space="preserve"> </v>
      </c>
      <c r="Q48" s="4" t="str">
        <f>IF(A48&lt;('2. Inputs and results'!$C$21+1),Q47+P48," ")</f>
        <v xml:space="preserve"> </v>
      </c>
      <c r="R48" s="4" t="e">
        <f>IF(A48&lt;('2. Inputs and results'!$C$21+1),R47+G48+I48+H48+J48+T48-$V$6,NA())</f>
        <v>#N/A</v>
      </c>
      <c r="S48" s="4" t="str">
        <f>IF(A48&lt;('2. Inputs and results'!$C$21+1),'2. Inputs and results'!$C$79*(R47)," ")</f>
        <v xml:space="preserve"> </v>
      </c>
      <c r="T48" s="4">
        <f t="shared" si="1"/>
        <v>0</v>
      </c>
      <c r="U48" s="4" t="e">
        <f>IF(A48&lt;('2. Inputs and results'!$C$21+1),U47+((G48+I48+H48+J48-$V$6+T48)/((1+$P$2)^A48)),NA())</f>
        <v>#N/A</v>
      </c>
      <c r="V48" s="4" t="str">
        <f>IF(A48&lt;('2. Inputs and results'!$C$21+1),V47+('2. Inputs and results'!$C$75*'2. Inputs and results'!$C$73)," ")</f>
        <v xml:space="preserve"> </v>
      </c>
      <c r="W48" s="4" t="e">
        <f>IF(A48&lt;('2. Inputs and results'!$C$21+1),W47+C48+Y48-$V$6,NA())</f>
        <v>#N/A</v>
      </c>
      <c r="X48" s="4" t="str">
        <f>IF(A48&lt;('2. Inputs and results'!$C$21+1),'2. Inputs and results'!$C$79*(W47)," ")</f>
        <v xml:space="preserve"> </v>
      </c>
      <c r="Y48" s="4">
        <f t="shared" si="2"/>
        <v>0</v>
      </c>
      <c r="Z48" s="4" t="e">
        <f>IF(A48&lt;('2. Inputs and results'!$C$21+1),Z47+((C48-$V$6+Y48)/((1+$P$2)^A48)),NA())</f>
        <v>#N/A</v>
      </c>
      <c r="AA48" s="4" t="str">
        <f>IF(A48&lt;('2. Inputs and results'!$C$21+1),AA47+G48+I48+H48+T48-$V$6," ")</f>
        <v xml:space="preserve"> </v>
      </c>
      <c r="AB48" s="20" t="e">
        <f>IF(A48&lt;('2. Inputs and results'!$C$21+1),AA48/L48,NA())</f>
        <v>#N/A</v>
      </c>
      <c r="AC48" s="29" t="str">
        <f>IF(A48&lt;('2. Inputs and results'!$C$21+1),AC47+C48+Y48-$V$6," ")</f>
        <v xml:space="preserve"> </v>
      </c>
      <c r="AD48" s="20" t="e">
        <f>IF(A48&lt;('2. Inputs and results'!$C$21+1),AC48/L48,NA())</f>
        <v>#N/A</v>
      </c>
      <c r="AE48" t="str">
        <f>IF(A48&lt;('2. Inputs and results'!$C$21+1),-'2. Inputs and results'!$C$121*A48," ")</f>
        <v xml:space="preserve"> </v>
      </c>
      <c r="AF48" t="e">
        <f>IF(A48&lt;('2. Inputs and results'!$C$21+1),AE48/1000,NA())</f>
        <v>#N/A</v>
      </c>
    </row>
    <row r="49" spans="1:32" x14ac:dyDescent="0.25">
      <c r="A49">
        <f t="shared" si="0"/>
        <v>44</v>
      </c>
      <c r="B49" t="str">
        <f>IF(A49&lt;('2. Inputs and results'!$C$21+1),A49," ")</f>
        <v xml:space="preserve"> </v>
      </c>
      <c r="C49" s="4" t="str">
        <f>IF(A49&lt;('2. Inputs and results'!$C$21+1),'2. Inputs and results'!$C$99+'2. Inputs and results'!$C$101," ")</f>
        <v xml:space="preserve"> </v>
      </c>
      <c r="D49" s="4" t="e">
        <f>IF(A49&lt;('2. Inputs and results'!$C$21+1),D48+C49,NA())</f>
        <v>#N/A</v>
      </c>
      <c r="E49" s="4" t="str">
        <f>IF(A49&lt;('2. Inputs and results'!$C$21+1),C49/((1+$P$2)^A49)," ")</f>
        <v xml:space="preserve"> </v>
      </c>
      <c r="F49" s="4" t="str">
        <f>IF(B49&lt;('2. Inputs and results'!$C$21+1),F48+E49," ")</f>
        <v xml:space="preserve"> </v>
      </c>
      <c r="G49" s="4" t="str">
        <f>IF(A49&lt;('2. Inputs and results'!$C$21+1),G48*(1+'2. Inputs and results'!$C$44)," ")</f>
        <v xml:space="preserve"> </v>
      </c>
      <c r="H49" s="4" t="str">
        <f>IF(A49&lt;('2. Inputs and results'!$C$21+1),H48*(1+'2. Inputs and results'!$C$56)," ")</f>
        <v xml:space="preserve"> </v>
      </c>
      <c r="I49" s="4" t="str">
        <f>IF(A49&lt;('2. Inputs and results'!$C$21+1),I48*(1+'2. Inputs and results'!$C$32)," ")</f>
        <v xml:space="preserve"> </v>
      </c>
      <c r="J49" s="4" t="str">
        <f>IF(A49&lt;('2. Inputs and results'!$C$21+1),J48*(1+'2. Inputs and results'!$C$66)," ")</f>
        <v xml:space="preserve"> </v>
      </c>
      <c r="K49" s="4" t="e">
        <f>IF(A49&lt;('2. Inputs and results'!$C$21+1),K48+(G49+I49+H49+J49),NA())</f>
        <v>#N/A</v>
      </c>
      <c r="L49" s="4" t="e">
        <f>IF(A49&lt;('2. Inputs and results'!$C$21+1),L48,NA())</f>
        <v>#N/A</v>
      </c>
      <c r="M49" s="4" t="str">
        <f>IF(A49&lt;('2. Inputs and results'!$C$21+1),'2. Inputs and results'!$C$75*'2. Inputs and results'!$C$73," ")</f>
        <v xml:space="preserve"> </v>
      </c>
      <c r="N49" s="4" t="str">
        <f>IF(A49&lt;('2. Inputs and results'!$C$21+1),M49/((1+$P$2)^A49)," ")</f>
        <v xml:space="preserve"> </v>
      </c>
      <c r="O49" s="4" t="str">
        <f>IF(A49&lt;('2. Inputs and results'!$C$21+1),'2. Inputs and results'!$C$73*'2. Inputs and results'!$C$75+O48," ")</f>
        <v xml:space="preserve"> </v>
      </c>
      <c r="P49" s="4" t="str">
        <f>IF(A49&lt;('2. Inputs and results'!$C$21+1),(G49+I49+H49+J49)/((1+$P$2)^A49)," ")</f>
        <v xml:space="preserve"> </v>
      </c>
      <c r="Q49" s="4" t="str">
        <f>IF(A49&lt;('2. Inputs and results'!$C$21+1),Q48+P49," ")</f>
        <v xml:space="preserve"> </v>
      </c>
      <c r="R49" s="4" t="e">
        <f>IF(A49&lt;('2. Inputs and results'!$C$21+1),R48+G49+I49+H49+J49+T49-$V$6,NA())</f>
        <v>#N/A</v>
      </c>
      <c r="S49" s="4" t="str">
        <f>IF(A49&lt;('2. Inputs and results'!$C$21+1),'2. Inputs and results'!$C$79*(R48)," ")</f>
        <v xml:space="preserve"> </v>
      </c>
      <c r="T49" s="4">
        <f t="shared" si="1"/>
        <v>0</v>
      </c>
      <c r="U49" s="4" t="e">
        <f>IF(A49&lt;('2. Inputs and results'!$C$21+1),U48+((G49+I49+H49+J49-$V$6+T49)/((1+$P$2)^A49)),NA())</f>
        <v>#N/A</v>
      </c>
      <c r="V49" s="4" t="str">
        <f>IF(A49&lt;('2. Inputs and results'!$C$21+1),V48+('2. Inputs and results'!$C$75*'2. Inputs and results'!$C$73)," ")</f>
        <v xml:space="preserve"> </v>
      </c>
      <c r="W49" s="4" t="e">
        <f>IF(A49&lt;('2. Inputs and results'!$C$21+1),W48+C49+Y49-$V$6,NA())</f>
        <v>#N/A</v>
      </c>
      <c r="X49" s="4" t="str">
        <f>IF(A49&lt;('2. Inputs and results'!$C$21+1),'2. Inputs and results'!$C$79*(W48)," ")</f>
        <v xml:space="preserve"> </v>
      </c>
      <c r="Y49" s="4">
        <f t="shared" si="2"/>
        <v>0</v>
      </c>
      <c r="Z49" s="4" t="e">
        <f>IF(A49&lt;('2. Inputs and results'!$C$21+1),Z48+((C49-$V$6+Y49)/((1+$P$2)^A49)),NA())</f>
        <v>#N/A</v>
      </c>
      <c r="AA49" s="4" t="str">
        <f>IF(A49&lt;('2. Inputs and results'!$C$21+1),AA48+G49+I49+H49+T49-$V$6," ")</f>
        <v xml:space="preserve"> </v>
      </c>
      <c r="AB49" s="20" t="e">
        <f>IF(A49&lt;('2. Inputs and results'!$C$21+1),AA49/L49,NA())</f>
        <v>#N/A</v>
      </c>
      <c r="AC49" s="29" t="str">
        <f>IF(A49&lt;('2. Inputs and results'!$C$21+1),AC48+C49+Y49-$V$6," ")</f>
        <v xml:space="preserve"> </v>
      </c>
      <c r="AD49" s="20" t="e">
        <f>IF(A49&lt;('2. Inputs and results'!$C$21+1),AC49/L49,NA())</f>
        <v>#N/A</v>
      </c>
      <c r="AE49" t="str">
        <f>IF(A49&lt;('2. Inputs and results'!$C$21+1),-'2. Inputs and results'!$C$121*A49," ")</f>
        <v xml:space="preserve"> </v>
      </c>
      <c r="AF49" t="e">
        <f>IF(A49&lt;('2. Inputs and results'!$C$21+1),AE49/1000,NA())</f>
        <v>#N/A</v>
      </c>
    </row>
    <row r="50" spans="1:32" x14ac:dyDescent="0.25">
      <c r="A50">
        <f t="shared" si="0"/>
        <v>45</v>
      </c>
      <c r="B50" t="str">
        <f>IF(A50&lt;('2. Inputs and results'!$C$21+1),A50," ")</f>
        <v xml:space="preserve"> </v>
      </c>
      <c r="C50" s="4" t="str">
        <f>IF(A50&lt;('2. Inputs and results'!$C$21+1),'2. Inputs and results'!$C$99+'2. Inputs and results'!$C$101," ")</f>
        <v xml:space="preserve"> </v>
      </c>
      <c r="D50" s="4" t="e">
        <f>IF(A50&lt;('2. Inputs and results'!$C$21+1),D49+C50,NA())</f>
        <v>#N/A</v>
      </c>
      <c r="E50" s="4" t="str">
        <f>IF(A50&lt;('2. Inputs and results'!$C$21+1),C50/((1+$P$2)^A50)," ")</f>
        <v xml:space="preserve"> </v>
      </c>
      <c r="F50" s="4" t="str">
        <f>IF(B50&lt;('2. Inputs and results'!$C$21+1),F49+E50," ")</f>
        <v xml:space="preserve"> </v>
      </c>
      <c r="G50" s="4" t="str">
        <f>IF(A50&lt;('2. Inputs and results'!$C$21+1),G49*(1+'2. Inputs and results'!$C$44)," ")</f>
        <v xml:space="preserve"> </v>
      </c>
      <c r="H50" s="4" t="str">
        <f>IF(A50&lt;('2. Inputs and results'!$C$21+1),H49*(1+'2. Inputs and results'!$C$56)," ")</f>
        <v xml:space="preserve"> </v>
      </c>
      <c r="I50" s="4" t="str">
        <f>IF(A50&lt;('2. Inputs and results'!$C$21+1),I49*(1+'2. Inputs and results'!$C$32)," ")</f>
        <v xml:space="preserve"> </v>
      </c>
      <c r="J50" s="4" t="str">
        <f>IF(A50&lt;('2. Inputs and results'!$C$21+1),J49*(1+'2. Inputs and results'!$C$66)," ")</f>
        <v xml:space="preserve"> </v>
      </c>
      <c r="K50" s="4" t="e">
        <f>IF(A50&lt;('2. Inputs and results'!$C$21+1),K49+(G50+I50+H50+J50),NA())</f>
        <v>#N/A</v>
      </c>
      <c r="L50" s="4" t="e">
        <f>IF(A50&lt;('2. Inputs and results'!$C$21+1),L49,NA())</f>
        <v>#N/A</v>
      </c>
      <c r="M50" s="4" t="str">
        <f>IF(A50&lt;('2. Inputs and results'!$C$21+1),'2. Inputs and results'!$C$75*'2. Inputs and results'!$C$73," ")</f>
        <v xml:space="preserve"> </v>
      </c>
      <c r="N50" s="4" t="str">
        <f>IF(A50&lt;('2. Inputs and results'!$C$21+1),M50/((1+$P$2)^A50)," ")</f>
        <v xml:space="preserve"> </v>
      </c>
      <c r="O50" s="4" t="str">
        <f>IF(A50&lt;('2. Inputs and results'!$C$21+1),'2. Inputs and results'!$C$73*'2. Inputs and results'!$C$75+O49," ")</f>
        <v xml:space="preserve"> </v>
      </c>
      <c r="P50" s="4" t="str">
        <f>IF(A50&lt;('2. Inputs and results'!$C$21+1),(G50+I50+H50+J50)/((1+$P$2)^A50)," ")</f>
        <v xml:space="preserve"> </v>
      </c>
      <c r="Q50" s="4" t="str">
        <f>IF(A50&lt;('2. Inputs and results'!$C$21+1),Q49+P50," ")</f>
        <v xml:space="preserve"> </v>
      </c>
      <c r="R50" s="4" t="e">
        <f>IF(A50&lt;('2. Inputs and results'!$C$21+1),R49+G50+I50+H50+J50+T50-$V$6,NA())</f>
        <v>#N/A</v>
      </c>
      <c r="S50" s="4" t="str">
        <f>IF(A50&lt;('2. Inputs and results'!$C$21+1),'2. Inputs and results'!$C$79*(R49)," ")</f>
        <v xml:space="preserve"> </v>
      </c>
      <c r="T50" s="4">
        <f t="shared" si="1"/>
        <v>0</v>
      </c>
      <c r="U50" s="4" t="e">
        <f>IF(A50&lt;('2. Inputs and results'!$C$21+1),U49+((G50+I50+H50+J50-$V$6+T50)/((1+$P$2)^A50)),NA())</f>
        <v>#N/A</v>
      </c>
      <c r="V50" s="4" t="str">
        <f>IF(A50&lt;('2. Inputs and results'!$C$21+1),V49+('2. Inputs and results'!$C$75*'2. Inputs and results'!$C$73)," ")</f>
        <v xml:space="preserve"> </v>
      </c>
      <c r="W50" s="4" t="e">
        <f>IF(A50&lt;('2. Inputs and results'!$C$21+1),W49+C50+Y50-$V$6,NA())</f>
        <v>#N/A</v>
      </c>
      <c r="X50" s="4" t="str">
        <f>IF(A50&lt;('2. Inputs and results'!$C$21+1),'2. Inputs and results'!$C$79*(W49)," ")</f>
        <v xml:space="preserve"> </v>
      </c>
      <c r="Y50" s="4">
        <f t="shared" si="2"/>
        <v>0</v>
      </c>
      <c r="Z50" s="4" t="e">
        <f>IF(A50&lt;('2. Inputs and results'!$C$21+1),Z49+((C50-$V$6+Y50)/((1+$P$2)^A50)),NA())</f>
        <v>#N/A</v>
      </c>
      <c r="AA50" s="4" t="str">
        <f>IF(A50&lt;('2. Inputs and results'!$C$21+1),AA49+G50+I50+H50+T50-$V$6," ")</f>
        <v xml:space="preserve"> </v>
      </c>
      <c r="AB50" s="20" t="e">
        <f>IF(A50&lt;('2. Inputs and results'!$C$21+1),AA50/L50,NA())</f>
        <v>#N/A</v>
      </c>
      <c r="AC50" s="29" t="str">
        <f>IF(A50&lt;('2. Inputs and results'!$C$21+1),AC49+C50+Y50-$V$6," ")</f>
        <v xml:space="preserve"> </v>
      </c>
      <c r="AD50" s="20" t="e">
        <f>IF(A50&lt;('2. Inputs and results'!$C$21+1),AC50/L50,NA())</f>
        <v>#N/A</v>
      </c>
      <c r="AE50" t="str">
        <f>IF(A50&lt;('2. Inputs and results'!$C$21+1),-'2. Inputs and results'!$C$121*A50," ")</f>
        <v xml:space="preserve"> </v>
      </c>
      <c r="AF50" t="e">
        <f>IF(A50&lt;('2. Inputs and results'!$C$21+1),AE50/1000,NA())</f>
        <v>#N/A</v>
      </c>
    </row>
    <row r="51" spans="1:32" x14ac:dyDescent="0.25">
      <c r="A51">
        <f t="shared" si="0"/>
        <v>46</v>
      </c>
      <c r="B51" t="str">
        <f>IF(A51&lt;('2. Inputs and results'!$C$21+1),A51," ")</f>
        <v xml:space="preserve"> </v>
      </c>
      <c r="C51" s="4" t="str">
        <f>IF(A51&lt;('2. Inputs and results'!$C$21+1),'2. Inputs and results'!$C$99+'2. Inputs and results'!$C$101," ")</f>
        <v xml:space="preserve"> </v>
      </c>
      <c r="D51" s="4" t="e">
        <f>IF(A51&lt;('2. Inputs and results'!$C$21+1),D50+C51,NA())</f>
        <v>#N/A</v>
      </c>
      <c r="E51" s="4" t="str">
        <f>IF(A51&lt;('2. Inputs and results'!$C$21+1),C51/((1+$P$2)^A51)," ")</f>
        <v xml:space="preserve"> </v>
      </c>
      <c r="F51" s="4" t="str">
        <f>IF(B51&lt;('2. Inputs and results'!$C$21+1),F50+E51," ")</f>
        <v xml:space="preserve"> </v>
      </c>
      <c r="G51" s="4" t="str">
        <f>IF(A51&lt;('2. Inputs and results'!$C$21+1),G50*(1+'2. Inputs and results'!$C$44)," ")</f>
        <v xml:space="preserve"> </v>
      </c>
      <c r="H51" s="4" t="str">
        <f>IF(A51&lt;('2. Inputs and results'!$C$21+1),H50*(1+'2. Inputs and results'!$C$56)," ")</f>
        <v xml:space="preserve"> </v>
      </c>
      <c r="I51" s="4" t="str">
        <f>IF(A51&lt;('2. Inputs and results'!$C$21+1),I50*(1+'2. Inputs and results'!$C$32)," ")</f>
        <v xml:space="preserve"> </v>
      </c>
      <c r="J51" s="4" t="str">
        <f>IF(A51&lt;('2. Inputs and results'!$C$21+1),J50*(1+'2. Inputs and results'!$C$66)," ")</f>
        <v xml:space="preserve"> </v>
      </c>
      <c r="K51" s="4" t="e">
        <f>IF(A51&lt;('2. Inputs and results'!$C$21+1),K50+(G51+I51+H51+J51),NA())</f>
        <v>#N/A</v>
      </c>
      <c r="L51" s="4" t="e">
        <f>IF(A51&lt;('2. Inputs and results'!$C$21+1),L50,NA())</f>
        <v>#N/A</v>
      </c>
      <c r="M51" s="4" t="str">
        <f>IF(A51&lt;('2. Inputs and results'!$C$21+1),'2. Inputs and results'!$C$75*'2. Inputs and results'!$C$73," ")</f>
        <v xml:space="preserve"> </v>
      </c>
      <c r="N51" s="4" t="str">
        <f>IF(A51&lt;('2. Inputs and results'!$C$21+1),M51/((1+$P$2)^A51)," ")</f>
        <v xml:space="preserve"> </v>
      </c>
      <c r="O51" s="4" t="str">
        <f>IF(A51&lt;('2. Inputs and results'!$C$21+1),'2. Inputs and results'!$C$73*'2. Inputs and results'!$C$75+O50," ")</f>
        <v xml:space="preserve"> </v>
      </c>
      <c r="P51" s="4" t="str">
        <f>IF(A51&lt;('2. Inputs and results'!$C$21+1),(G51+I51+H51+J51)/((1+$P$2)^A51)," ")</f>
        <v xml:space="preserve"> </v>
      </c>
      <c r="Q51" s="4" t="str">
        <f>IF(A51&lt;('2. Inputs and results'!$C$21+1),Q50+P51," ")</f>
        <v xml:space="preserve"> </v>
      </c>
      <c r="R51" s="4" t="e">
        <f>IF(A51&lt;('2. Inputs and results'!$C$21+1),R50+G51+I51+H51+J51+T51-$V$6,NA())</f>
        <v>#N/A</v>
      </c>
      <c r="S51" s="4" t="str">
        <f>IF(A51&lt;('2. Inputs and results'!$C$21+1),'2. Inputs and results'!$C$79*(R50)," ")</f>
        <v xml:space="preserve"> </v>
      </c>
      <c r="T51" s="4">
        <f t="shared" si="1"/>
        <v>0</v>
      </c>
      <c r="U51" s="4" t="e">
        <f>IF(A51&lt;('2. Inputs and results'!$C$21+1),U50+((G51+I51+H51+J51-$V$6+T51)/((1+$P$2)^A51)),NA())</f>
        <v>#N/A</v>
      </c>
      <c r="V51" s="4" t="str">
        <f>IF(A51&lt;('2. Inputs and results'!$C$21+1),V50+('2. Inputs and results'!$C$75*'2. Inputs and results'!$C$73)," ")</f>
        <v xml:space="preserve"> </v>
      </c>
      <c r="W51" s="4" t="e">
        <f>IF(A51&lt;('2. Inputs and results'!$C$21+1),W50+C51+Y51-$V$6,NA())</f>
        <v>#N/A</v>
      </c>
      <c r="X51" s="4" t="str">
        <f>IF(A51&lt;('2. Inputs and results'!$C$21+1),'2. Inputs and results'!$C$79*(W50)," ")</f>
        <v xml:space="preserve"> </v>
      </c>
      <c r="Y51" s="4">
        <f t="shared" si="2"/>
        <v>0</v>
      </c>
      <c r="Z51" s="4" t="e">
        <f>IF(A51&lt;('2. Inputs and results'!$C$21+1),Z50+((C51-$V$6+Y51)/((1+$P$2)^A51)),NA())</f>
        <v>#N/A</v>
      </c>
      <c r="AA51" s="4" t="str">
        <f>IF(A51&lt;('2. Inputs and results'!$C$21+1),AA50+G51+I51+H51+T51-$V$6," ")</f>
        <v xml:space="preserve"> </v>
      </c>
      <c r="AB51" s="20" t="e">
        <f>IF(A51&lt;('2. Inputs and results'!$C$21+1),AA51/L51,NA())</f>
        <v>#N/A</v>
      </c>
      <c r="AC51" s="29" t="str">
        <f>IF(A51&lt;('2. Inputs and results'!$C$21+1),AC50+C51+Y51-$V$6," ")</f>
        <v xml:space="preserve"> </v>
      </c>
      <c r="AD51" s="20" t="e">
        <f>IF(A51&lt;('2. Inputs and results'!$C$21+1),AC51/L51,NA())</f>
        <v>#N/A</v>
      </c>
      <c r="AE51" t="str">
        <f>IF(A51&lt;('2. Inputs and results'!$C$21+1),-'2. Inputs and results'!$C$121*A51," ")</f>
        <v xml:space="preserve"> </v>
      </c>
      <c r="AF51" t="e">
        <f>IF(A51&lt;('2. Inputs and results'!$C$21+1),AE51/1000,NA())</f>
        <v>#N/A</v>
      </c>
    </row>
    <row r="52" spans="1:32" x14ac:dyDescent="0.25">
      <c r="A52">
        <f>A51+1</f>
        <v>47</v>
      </c>
      <c r="B52" t="str">
        <f>IF(A52&lt;('2. Inputs and results'!$C$21+1),A52," ")</f>
        <v xml:space="preserve"> </v>
      </c>
      <c r="C52" s="4" t="str">
        <f>IF(A52&lt;('2. Inputs and results'!$C$21+1),'2. Inputs and results'!$C$99+'2. Inputs and results'!$C$101," ")</f>
        <v xml:space="preserve"> </v>
      </c>
      <c r="D52" s="4" t="e">
        <f>IF(A52&lt;('2. Inputs and results'!$C$21+1),D51+C52,NA())</f>
        <v>#N/A</v>
      </c>
      <c r="E52" s="4" t="str">
        <f>IF(A52&lt;('2. Inputs and results'!$C$21+1),C52/((1+$P$2)^A52)," ")</f>
        <v xml:space="preserve"> </v>
      </c>
      <c r="F52" s="4" t="str">
        <f>IF(B52&lt;('2. Inputs and results'!$C$21+1),F51+E52," ")</f>
        <v xml:space="preserve"> </v>
      </c>
      <c r="G52" s="4" t="str">
        <f>IF(A52&lt;('2. Inputs and results'!$C$21+1),G51*(1+'2. Inputs and results'!$C$44)," ")</f>
        <v xml:space="preserve"> </v>
      </c>
      <c r="H52" s="4" t="str">
        <f>IF(A52&lt;('2. Inputs and results'!$C$21+1),H51*(1+'2. Inputs and results'!$C$56)," ")</f>
        <v xml:space="preserve"> </v>
      </c>
      <c r="I52" s="4" t="str">
        <f>IF(A52&lt;('2. Inputs and results'!$C$21+1),I51*(1+'2. Inputs and results'!$C$32)," ")</f>
        <v xml:space="preserve"> </v>
      </c>
      <c r="J52" s="4" t="str">
        <f>IF(A52&lt;('2. Inputs and results'!$C$21+1),J51*(1+'2. Inputs and results'!$C$66)," ")</f>
        <v xml:space="preserve"> </v>
      </c>
      <c r="K52" s="4" t="e">
        <f>IF(A52&lt;('2. Inputs and results'!$C$21+1),K51+(G52+I52+H52+J52),NA())</f>
        <v>#N/A</v>
      </c>
      <c r="L52" s="4" t="e">
        <f>IF(A52&lt;('2. Inputs and results'!$C$21+1),L51,NA())</f>
        <v>#N/A</v>
      </c>
      <c r="M52" s="4" t="str">
        <f>IF(A52&lt;('2. Inputs and results'!$C$21+1),'2. Inputs and results'!$C$75*'2. Inputs and results'!$C$73," ")</f>
        <v xml:space="preserve"> </v>
      </c>
      <c r="N52" s="4" t="str">
        <f>IF(A52&lt;('2. Inputs and results'!$C$21+1),M52/((1+$P$2)^A52)," ")</f>
        <v xml:space="preserve"> </v>
      </c>
      <c r="O52" s="4" t="str">
        <f>IF(A52&lt;('2. Inputs and results'!$C$21+1),'2. Inputs and results'!$C$73*'2. Inputs and results'!$C$75+O51," ")</f>
        <v xml:space="preserve"> </v>
      </c>
      <c r="P52" s="4" t="str">
        <f>IF(A52&lt;('2. Inputs and results'!$C$21+1),(G52+I52+H52+J52)/((1+$P$2)^A52)," ")</f>
        <v xml:space="preserve"> </v>
      </c>
      <c r="Q52" s="4" t="str">
        <f>IF(A52&lt;('2. Inputs and results'!$C$21+1),Q51+P52," ")</f>
        <v xml:space="preserve"> </v>
      </c>
      <c r="R52" s="4" t="e">
        <f>IF(A52&lt;('2. Inputs and results'!$C$21+1),R51+G52+I52+H52+J52+T52-$V$6,NA())</f>
        <v>#N/A</v>
      </c>
      <c r="S52" s="4" t="str">
        <f>IF(A52&lt;('2. Inputs and results'!$C$21+1),'2. Inputs and results'!$C$79*(R51)," ")</f>
        <v xml:space="preserve"> </v>
      </c>
      <c r="T52" s="4">
        <f t="shared" si="1"/>
        <v>0</v>
      </c>
      <c r="U52" s="4" t="e">
        <f>IF(A52&lt;('2. Inputs and results'!$C$21+1),U51+((G52+I52+H52+J52-$V$6+T52)/((1+$P$2)^A52)),NA())</f>
        <v>#N/A</v>
      </c>
      <c r="V52" s="4" t="str">
        <f>IF(A52&lt;('2. Inputs and results'!$C$21+1),V51+('2. Inputs and results'!$C$75*'2. Inputs and results'!$C$73)," ")</f>
        <v xml:space="preserve"> </v>
      </c>
      <c r="W52" s="4" t="e">
        <f>IF(A52&lt;('2. Inputs and results'!$C$21+1),W51+C52+Y52-$V$6,NA())</f>
        <v>#N/A</v>
      </c>
      <c r="X52" s="4" t="str">
        <f>IF(A52&lt;('2. Inputs and results'!$C$21+1),'2. Inputs and results'!$C$79*(W51)," ")</f>
        <v xml:space="preserve"> </v>
      </c>
      <c r="Y52" s="4">
        <f t="shared" si="2"/>
        <v>0</v>
      </c>
      <c r="Z52" s="4" t="e">
        <f>IF(A52&lt;('2. Inputs and results'!$C$21+1),Z51+((C52-$V$6+Y52)/((1+$P$2)^A52)),NA())</f>
        <v>#N/A</v>
      </c>
      <c r="AA52" s="4" t="str">
        <f>IF(A52&lt;('2. Inputs and results'!$C$21+1),AA51+G52+I52+H52+T52-$V$6," ")</f>
        <v xml:space="preserve"> </v>
      </c>
      <c r="AB52" s="20" t="e">
        <f>IF(A52&lt;('2. Inputs and results'!$C$21+1),AA52/L52,NA())</f>
        <v>#N/A</v>
      </c>
      <c r="AC52" s="29" t="str">
        <f>IF(A52&lt;('2. Inputs and results'!$C$21+1),AC51+C52+Y52-$V$6," ")</f>
        <v xml:space="preserve"> </v>
      </c>
      <c r="AD52" s="20" t="e">
        <f>IF(A52&lt;('2. Inputs and results'!$C$21+1),AC52/L52,NA())</f>
        <v>#N/A</v>
      </c>
      <c r="AE52" t="str">
        <f>IF(A52&lt;('2. Inputs and results'!$C$21+1),-'2. Inputs and results'!$C$121*A52," ")</f>
        <v xml:space="preserve"> </v>
      </c>
      <c r="AF52" t="e">
        <f>IF(A52&lt;('2. Inputs and results'!$C$21+1),AE52/1000,NA())</f>
        <v>#N/A</v>
      </c>
    </row>
    <row r="53" spans="1:32" x14ac:dyDescent="0.25">
      <c r="A53">
        <f t="shared" si="0"/>
        <v>48</v>
      </c>
      <c r="B53" t="str">
        <f>IF(A53&lt;('2. Inputs and results'!$C$21+1),A53," ")</f>
        <v xml:space="preserve"> </v>
      </c>
      <c r="C53" s="4" t="str">
        <f>IF(A53&lt;('2. Inputs and results'!$C$21+1),'2. Inputs and results'!$C$99+'2. Inputs and results'!$C$101," ")</f>
        <v xml:space="preserve"> </v>
      </c>
      <c r="D53" s="4" t="e">
        <f>IF(A53&lt;('2. Inputs and results'!$C$21+1),D52+C53,NA())</f>
        <v>#N/A</v>
      </c>
      <c r="E53" s="4" t="str">
        <f>IF(A53&lt;('2. Inputs and results'!$C$21+1),C53/((1+$P$2)^A53)," ")</f>
        <v xml:space="preserve"> </v>
      </c>
      <c r="F53" s="4" t="str">
        <f>IF(B53&lt;('2. Inputs and results'!$C$21+1),F52+E53," ")</f>
        <v xml:space="preserve"> </v>
      </c>
      <c r="G53" s="4" t="str">
        <f>IF(A53&lt;('2. Inputs and results'!$C$21+1),G52*(1+'2. Inputs and results'!$C$44)," ")</f>
        <v xml:space="preserve"> </v>
      </c>
      <c r="H53" s="4" t="str">
        <f>IF(A53&lt;('2. Inputs and results'!$C$21+1),H52*(1+'2. Inputs and results'!$C$56)," ")</f>
        <v xml:space="preserve"> </v>
      </c>
      <c r="I53" s="4" t="str">
        <f>IF(A53&lt;('2. Inputs and results'!$C$21+1),I52*(1+'2. Inputs and results'!$C$32)," ")</f>
        <v xml:space="preserve"> </v>
      </c>
      <c r="J53" s="4" t="str">
        <f>IF(A53&lt;('2. Inputs and results'!$C$21+1),J52*(1+'2. Inputs and results'!$C$66)," ")</f>
        <v xml:space="preserve"> </v>
      </c>
      <c r="K53" s="4" t="e">
        <f>IF(A53&lt;('2. Inputs and results'!$C$21+1),K52+(G53+I53+H53+J53),NA())</f>
        <v>#N/A</v>
      </c>
      <c r="L53" s="4" t="e">
        <f>IF(A53&lt;('2. Inputs and results'!$C$21+1),L52,NA())</f>
        <v>#N/A</v>
      </c>
      <c r="M53" s="4" t="str">
        <f>IF(A53&lt;('2. Inputs and results'!$C$21+1),'2. Inputs and results'!$C$75*'2. Inputs and results'!$C$73," ")</f>
        <v xml:space="preserve"> </v>
      </c>
      <c r="N53" s="4" t="str">
        <f>IF(A53&lt;('2. Inputs and results'!$C$21+1),M53/((1+$P$2)^A53)," ")</f>
        <v xml:space="preserve"> </v>
      </c>
      <c r="O53" s="4" t="str">
        <f>IF(A53&lt;('2. Inputs and results'!$C$21+1),'2. Inputs and results'!$C$73*'2. Inputs and results'!$C$75+O52," ")</f>
        <v xml:space="preserve"> </v>
      </c>
      <c r="P53" s="4" t="str">
        <f>IF(A53&lt;('2. Inputs and results'!$C$21+1),(G53+I53+H53+J53)/((1+$P$2)^A53)," ")</f>
        <v xml:space="preserve"> </v>
      </c>
      <c r="Q53" s="4" t="str">
        <f>IF(A53&lt;('2. Inputs and results'!$C$21+1),Q52+P53," ")</f>
        <v xml:space="preserve"> </v>
      </c>
      <c r="R53" s="4" t="e">
        <f>IF(A53&lt;('2. Inputs and results'!$C$21+1),R52+G53+I53+H53+J53+T53-$V$6,NA())</f>
        <v>#N/A</v>
      </c>
      <c r="S53" s="4" t="str">
        <f>IF(A53&lt;('2. Inputs and results'!$C$21+1),'2. Inputs and results'!$C$79*(R52)," ")</f>
        <v xml:space="preserve"> </v>
      </c>
      <c r="T53" s="4">
        <f t="shared" si="1"/>
        <v>0</v>
      </c>
      <c r="U53" s="4" t="e">
        <f>IF(A53&lt;('2. Inputs and results'!$C$21+1),U52+((G53+I53+H53+J53-$V$6+T53)/((1+$P$2)^A53)),NA())</f>
        <v>#N/A</v>
      </c>
      <c r="V53" s="4" t="str">
        <f>IF(A53&lt;('2. Inputs and results'!$C$21+1),V52+('2. Inputs and results'!$C$75*'2. Inputs and results'!$C$73)," ")</f>
        <v xml:space="preserve"> </v>
      </c>
      <c r="W53" s="4" t="e">
        <f>IF(A53&lt;('2. Inputs and results'!$C$21+1),W52+C53+Y53-$V$6,NA())</f>
        <v>#N/A</v>
      </c>
      <c r="X53" s="4" t="str">
        <f>IF(A53&lt;('2. Inputs and results'!$C$21+1),'2. Inputs and results'!$C$79*(W52)," ")</f>
        <v xml:space="preserve"> </v>
      </c>
      <c r="Y53" s="4">
        <f t="shared" si="2"/>
        <v>0</v>
      </c>
      <c r="Z53" s="4" t="e">
        <f>IF(A53&lt;('2. Inputs and results'!$C$21+1),Z52+((C53-$V$6+Y53)/((1+$P$2)^A53)),NA())</f>
        <v>#N/A</v>
      </c>
      <c r="AA53" s="4" t="str">
        <f>IF(A53&lt;('2. Inputs and results'!$C$21+1),AA52+G53+I53+H53+T53-$V$6," ")</f>
        <v xml:space="preserve"> </v>
      </c>
      <c r="AB53" s="20" t="e">
        <f>IF(A53&lt;('2. Inputs and results'!$C$21+1),AA53/L53,NA())</f>
        <v>#N/A</v>
      </c>
      <c r="AC53" s="29" t="str">
        <f>IF(A53&lt;('2. Inputs and results'!$C$21+1),AC52+C53+Y53-$V$6," ")</f>
        <v xml:space="preserve"> </v>
      </c>
      <c r="AD53" s="20" t="e">
        <f>IF(A53&lt;('2. Inputs and results'!$C$21+1),AC53/L53,NA())</f>
        <v>#N/A</v>
      </c>
      <c r="AE53" t="str">
        <f>IF(A53&lt;('2. Inputs and results'!$C$21+1),-'2. Inputs and results'!$C$121*A53," ")</f>
        <v xml:space="preserve"> </v>
      </c>
      <c r="AF53" t="e">
        <f>IF(A53&lt;('2. Inputs and results'!$C$21+1),AE53/1000,NA())</f>
        <v>#N/A</v>
      </c>
    </row>
    <row r="54" spans="1:32" x14ac:dyDescent="0.25">
      <c r="A54">
        <f t="shared" si="0"/>
        <v>49</v>
      </c>
      <c r="B54" t="str">
        <f>IF(A54&lt;('2. Inputs and results'!$C$21+1),A54," ")</f>
        <v xml:space="preserve"> </v>
      </c>
      <c r="C54" s="4" t="str">
        <f>IF(A54&lt;('2. Inputs and results'!$C$21+1),'2. Inputs and results'!$C$99+'2. Inputs and results'!$C$101," ")</f>
        <v xml:space="preserve"> </v>
      </c>
      <c r="D54" s="4" t="e">
        <f>IF(A54&lt;('2. Inputs and results'!$C$21+1),D53+C54,NA())</f>
        <v>#N/A</v>
      </c>
      <c r="E54" s="4" t="str">
        <f>IF(A54&lt;('2. Inputs and results'!$C$21+1),C54/((1+$P$2)^A54)," ")</f>
        <v xml:space="preserve"> </v>
      </c>
      <c r="F54" s="4" t="str">
        <f>IF(B54&lt;('2. Inputs and results'!$C$21+1),F53+E54," ")</f>
        <v xml:space="preserve"> </v>
      </c>
      <c r="G54" s="4" t="str">
        <f>IF(A54&lt;('2. Inputs and results'!$C$21+1),G53*(1+'2. Inputs and results'!$C$44)," ")</f>
        <v xml:space="preserve"> </v>
      </c>
      <c r="H54" s="4" t="str">
        <f>IF(A54&lt;('2. Inputs and results'!$C$21+1),H53*(1+'2. Inputs and results'!$C$56)," ")</f>
        <v xml:space="preserve"> </v>
      </c>
      <c r="I54" s="4" t="str">
        <f>IF(A54&lt;('2. Inputs and results'!$C$21+1),I53*(1+'2. Inputs and results'!$C$32)," ")</f>
        <v xml:space="preserve"> </v>
      </c>
      <c r="J54" s="4" t="str">
        <f>IF(A54&lt;('2. Inputs and results'!$C$21+1),J53*(1+'2. Inputs and results'!$C$66)," ")</f>
        <v xml:space="preserve"> </v>
      </c>
      <c r="K54" s="4" t="e">
        <f>IF(A54&lt;('2. Inputs and results'!$C$21+1),K53+(G54+I54+H54+J54),NA())</f>
        <v>#N/A</v>
      </c>
      <c r="L54" s="4" t="e">
        <f>IF(A54&lt;('2. Inputs and results'!$C$21+1),L53,NA())</f>
        <v>#N/A</v>
      </c>
      <c r="M54" s="4" t="str">
        <f>IF(A54&lt;('2. Inputs and results'!$C$21+1),'2. Inputs and results'!$C$75*'2. Inputs and results'!$C$73," ")</f>
        <v xml:space="preserve"> </v>
      </c>
      <c r="N54" s="4" t="str">
        <f>IF(A54&lt;('2. Inputs and results'!$C$21+1),M54/((1+$P$2)^A54)," ")</f>
        <v xml:space="preserve"> </v>
      </c>
      <c r="O54" s="4" t="str">
        <f>IF(A54&lt;('2. Inputs and results'!$C$21+1),'2. Inputs and results'!$C$73*'2. Inputs and results'!$C$75+O53," ")</f>
        <v xml:space="preserve"> </v>
      </c>
      <c r="P54" s="4" t="str">
        <f>IF(A54&lt;('2. Inputs and results'!$C$21+1),(G54+I54+H54+J54)/((1+$P$2)^A54)," ")</f>
        <v xml:space="preserve"> </v>
      </c>
      <c r="Q54" s="4" t="str">
        <f>IF(A54&lt;('2. Inputs and results'!$C$21+1),Q53+P54," ")</f>
        <v xml:space="preserve"> </v>
      </c>
      <c r="R54" s="4" t="e">
        <f>IF(A54&lt;('2. Inputs and results'!$C$21+1),R53+G54+I54+H54+J54+T54-$V$6,NA())</f>
        <v>#N/A</v>
      </c>
      <c r="S54" s="4" t="str">
        <f>IF(A54&lt;('2. Inputs and results'!$C$21+1),'2. Inputs and results'!$C$79*(R53)," ")</f>
        <v xml:space="preserve"> </v>
      </c>
      <c r="T54" s="4">
        <f t="shared" si="1"/>
        <v>0</v>
      </c>
      <c r="U54" s="4" t="e">
        <f>IF(A54&lt;('2. Inputs and results'!$C$21+1),U53+((G54+I54+H54+J54-$V$6+T54)/((1+$P$2)^A54)),NA())</f>
        <v>#N/A</v>
      </c>
      <c r="V54" s="4" t="str">
        <f>IF(A54&lt;('2. Inputs and results'!$C$21+1),V53+('2. Inputs and results'!$C$75*'2. Inputs and results'!$C$73)," ")</f>
        <v xml:space="preserve"> </v>
      </c>
      <c r="W54" s="4" t="e">
        <f>IF(A54&lt;('2. Inputs and results'!$C$21+1),W53+C54+Y54-$V$6,NA())</f>
        <v>#N/A</v>
      </c>
      <c r="X54" s="4" t="str">
        <f>IF(A54&lt;('2. Inputs and results'!$C$21+1),'2. Inputs and results'!$C$79*(W53)," ")</f>
        <v xml:space="preserve"> </v>
      </c>
      <c r="Y54" s="4">
        <f t="shared" si="2"/>
        <v>0</v>
      </c>
      <c r="Z54" s="4" t="e">
        <f>IF(A54&lt;('2. Inputs and results'!$C$21+1),Z53+((C54-$V$6+Y54)/((1+$P$2)^A54)),NA())</f>
        <v>#N/A</v>
      </c>
      <c r="AA54" s="4" t="str">
        <f>IF(A54&lt;('2. Inputs and results'!$C$21+1),AA53+G54+I54+H54+T54-$V$6," ")</f>
        <v xml:space="preserve"> </v>
      </c>
      <c r="AB54" s="20" t="e">
        <f>IF(A54&lt;('2. Inputs and results'!$C$21+1),AA54/L54,NA())</f>
        <v>#N/A</v>
      </c>
      <c r="AC54" s="29" t="str">
        <f>IF(A54&lt;('2. Inputs and results'!$C$21+1),AC53+C54+Y54-$V$6," ")</f>
        <v xml:space="preserve"> </v>
      </c>
      <c r="AD54" s="20" t="e">
        <f>IF(A54&lt;('2. Inputs and results'!$C$21+1),AC54/L54,NA())</f>
        <v>#N/A</v>
      </c>
      <c r="AE54" t="str">
        <f>IF(A54&lt;('2. Inputs and results'!$C$21+1),-'2. Inputs and results'!$C$121*A54," ")</f>
        <v xml:space="preserve"> </v>
      </c>
      <c r="AF54" t="e">
        <f>IF(A54&lt;('2. Inputs and results'!$C$21+1),AE54/1000,NA())</f>
        <v>#N/A</v>
      </c>
    </row>
    <row r="55" spans="1:32" x14ac:dyDescent="0.25">
      <c r="A55">
        <f t="shared" si="0"/>
        <v>50</v>
      </c>
      <c r="B55" t="str">
        <f>IF(A55&lt;('2. Inputs and results'!$C$21+1),A55," ")</f>
        <v xml:space="preserve"> </v>
      </c>
      <c r="C55" s="4" t="str">
        <f>IF(A55&lt;('2. Inputs and results'!$C$21+1),'2. Inputs and results'!$C$99+'2. Inputs and results'!$C$101," ")</f>
        <v xml:space="preserve"> </v>
      </c>
      <c r="D55" s="4" t="e">
        <f>IF(A55&lt;('2. Inputs and results'!$C$21+1),D54+C55,NA())</f>
        <v>#N/A</v>
      </c>
      <c r="E55" s="4" t="str">
        <f>IF(A55&lt;('2. Inputs and results'!$C$21+1),C55/((1+$P$2)^A55)," ")</f>
        <v xml:space="preserve"> </v>
      </c>
      <c r="F55" s="4" t="str">
        <f>IF(B55&lt;('2. Inputs and results'!$C$21+1),F54+E55," ")</f>
        <v xml:space="preserve"> </v>
      </c>
      <c r="G55" s="4" t="str">
        <f>IF(A55&lt;('2. Inputs and results'!$C$21+1),G54*(1+'2. Inputs and results'!$C$44)," ")</f>
        <v xml:space="preserve"> </v>
      </c>
      <c r="H55" s="4" t="str">
        <f>IF(A55&lt;('2. Inputs and results'!$C$21+1),H54*(1+'2. Inputs and results'!$C$56)," ")</f>
        <v xml:space="preserve"> </v>
      </c>
      <c r="I55" s="4" t="str">
        <f>IF(A55&lt;('2. Inputs and results'!$C$21+1),I54*(1+'2. Inputs and results'!$C$32)," ")</f>
        <v xml:space="preserve"> </v>
      </c>
      <c r="J55" s="4" t="str">
        <f>IF(A55&lt;('2. Inputs and results'!$C$21+1),J54*(1+'2. Inputs and results'!$C$66)," ")</f>
        <v xml:space="preserve"> </v>
      </c>
      <c r="K55" s="4" t="e">
        <f>IF(A55&lt;('2. Inputs and results'!$C$21+1),K54+(G55+I55+H55+J55),NA())</f>
        <v>#N/A</v>
      </c>
      <c r="L55" s="4" t="e">
        <f>IF(A55&lt;('2. Inputs and results'!$C$21+1),L54,NA())</f>
        <v>#N/A</v>
      </c>
      <c r="M55" s="4" t="str">
        <f>IF(A55&lt;('2. Inputs and results'!$C$21+1),'2. Inputs and results'!$C$75*'2. Inputs and results'!$C$73," ")</f>
        <v xml:space="preserve"> </v>
      </c>
      <c r="N55" s="4" t="str">
        <f>IF(A55&lt;('2. Inputs and results'!$C$21+1),M55/((1+$P$2)^A55)," ")</f>
        <v xml:space="preserve"> </v>
      </c>
      <c r="O55" s="4" t="str">
        <f>IF(A55&lt;('2. Inputs and results'!$C$21+1),'2. Inputs and results'!$C$73*'2. Inputs and results'!$C$75+O54," ")</f>
        <v xml:space="preserve"> </v>
      </c>
      <c r="P55" s="4" t="str">
        <f>IF(A55&lt;('2. Inputs and results'!$C$21+1),(G55+I55+H55+J55)/((1+$P$2)^A55)," ")</f>
        <v xml:space="preserve"> </v>
      </c>
      <c r="Q55" s="4" t="str">
        <f>IF(A55&lt;('2. Inputs and results'!$C$21+1),Q54+P55," ")</f>
        <v xml:space="preserve"> </v>
      </c>
      <c r="R55" s="4" t="e">
        <f>IF(A55&lt;('2. Inputs and results'!$C$21+1),R54+G55+I55+H55+J55+T55-$V$6,NA())</f>
        <v>#N/A</v>
      </c>
      <c r="S55" s="4" t="str">
        <f>IF(A55&lt;('2. Inputs and results'!$C$21+1),'2. Inputs and results'!$C$79*(R54)," ")</f>
        <v xml:space="preserve"> </v>
      </c>
      <c r="T55" s="4">
        <f t="shared" si="1"/>
        <v>0</v>
      </c>
      <c r="U55" s="4" t="e">
        <f>IF(A55&lt;('2. Inputs and results'!$C$21+1),U54+((G55+I55+H55+J55-$V$6+T55)/((1+$P$2)^A55)),NA())</f>
        <v>#N/A</v>
      </c>
      <c r="V55" s="4" t="str">
        <f>IF(A55&lt;('2. Inputs and results'!$C$21+1),V54+('2. Inputs and results'!$C$75*'2. Inputs and results'!$C$73)," ")</f>
        <v xml:space="preserve"> </v>
      </c>
      <c r="W55" s="4" t="e">
        <f>IF(A55&lt;('2. Inputs and results'!$C$21+1),W54+C55+Y55-$V$6,NA())</f>
        <v>#N/A</v>
      </c>
      <c r="X55" s="4" t="str">
        <f>IF(A55&lt;('2. Inputs and results'!$C$21+1),'2. Inputs and results'!$C$79*(W54)," ")</f>
        <v xml:space="preserve"> </v>
      </c>
      <c r="Y55" s="4">
        <f t="shared" si="2"/>
        <v>0</v>
      </c>
      <c r="Z55" s="4" t="e">
        <f>IF(A55&lt;('2. Inputs and results'!$C$21+1),Z54+((C55-$V$6+Y55)/((1+$P$2)^A55)),NA())</f>
        <v>#N/A</v>
      </c>
      <c r="AA55" s="4" t="str">
        <f>IF(A55&lt;('2. Inputs and results'!$C$21+1),AA54+G55+I55+H55+T55-$V$6," ")</f>
        <v xml:space="preserve"> </v>
      </c>
      <c r="AB55" s="20" t="e">
        <f>IF(A55&lt;('2. Inputs and results'!$C$21+1),AA55/L55,NA())</f>
        <v>#N/A</v>
      </c>
      <c r="AC55" s="29" t="str">
        <f>IF(A55&lt;('2. Inputs and results'!$C$21+1),AC54+C55+Y55-$V$6," ")</f>
        <v xml:space="preserve"> </v>
      </c>
      <c r="AD55" s="20" t="e">
        <f>IF(A55&lt;('2. Inputs and results'!$C$21+1),AC55/L55,NA())</f>
        <v>#N/A</v>
      </c>
      <c r="AE55" t="str">
        <f>IF(A55&lt;('2. Inputs and results'!$C$21+1),-'2. Inputs and results'!$C$121*A55," ")</f>
        <v xml:space="preserve"> </v>
      </c>
      <c r="AF55" t="e">
        <f>IF(A55&lt;('2. Inputs and results'!$C$21+1),AE55/1000,NA())</f>
        <v>#N/A</v>
      </c>
    </row>
    <row r="56" spans="1:32" x14ac:dyDescent="0.25">
      <c r="U56" s="4"/>
    </row>
  </sheetData>
  <sheetProtection sheet="1" objects="1" scenarios="1"/>
  <conditionalFormatting sqref="D6:D55">
    <cfRule type="containsText" dxfId="13" priority="3" operator="containsText" text="#PUUTTUU!">
      <formula>NOT(ISERROR(SEARCH("#PUUTTUU!",D6)))</formula>
    </cfRule>
  </conditionalFormatting>
  <conditionalFormatting sqref="A5:AA6 A7:T55 V7:AA55 U7:U56">
    <cfRule type="containsErrors" dxfId="12" priority="2">
      <formula>ISERROR(A5)</formula>
    </cfRule>
  </conditionalFormatting>
  <conditionalFormatting sqref="A5:AF6 A7:T55 V7:AF55 U7:U56">
    <cfRule type="containsErrors" dxfId="11" priority="1">
      <formula>ISERROR(A5)</formula>
    </cfRule>
  </conditionalFormatting>
  <pageMargins left="0.7" right="0.7" top="0.75" bottom="0.75" header="0.3" footer="0.3"/>
  <pageSetup paperSize="9" scale="5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F60"/>
  <sheetViews>
    <sheetView topLeftCell="G1" workbookViewId="0">
      <selection activeCell="G8" sqref="G8"/>
    </sheetView>
  </sheetViews>
  <sheetFormatPr defaultRowHeight="15" x14ac:dyDescent="0.25"/>
  <cols>
    <col min="1" max="2" width="27.42578125" customWidth="1"/>
    <col min="3" max="3" width="36.5703125" customWidth="1"/>
    <col min="4" max="5" width="34.85546875" customWidth="1"/>
    <col min="6" max="6" width="44.140625" customWidth="1"/>
    <col min="7" max="8" width="24.85546875" customWidth="1"/>
    <col min="9" max="9" width="26.42578125" customWidth="1"/>
    <col min="10" max="10" width="26.42578125" style="39" customWidth="1"/>
    <col min="11" max="11" width="33.28515625" customWidth="1"/>
    <col min="12" max="14" width="17.42578125" customWidth="1"/>
    <col min="15" max="15" width="27.85546875" customWidth="1"/>
    <col min="16" max="16" width="36.140625" customWidth="1"/>
    <col min="17" max="17" width="15" bestFit="1" customWidth="1"/>
    <col min="18" max="18" width="38.85546875" customWidth="1"/>
    <col min="19" max="22" width="32.7109375" customWidth="1"/>
    <col min="23" max="23" width="38.42578125" customWidth="1"/>
    <col min="24" max="25" width="32.7109375" customWidth="1"/>
    <col min="26" max="30" width="39" customWidth="1"/>
    <col min="31" max="31" width="17.5703125" customWidth="1"/>
  </cols>
  <sheetData>
    <row r="1" spans="1:32" x14ac:dyDescent="0.25">
      <c r="K1" s="11"/>
      <c r="P1" s="5"/>
      <c r="R1" s="15" t="s">
        <v>72</v>
      </c>
      <c r="S1" s="15"/>
      <c r="T1" s="15"/>
      <c r="U1" s="15"/>
      <c r="V1" s="15"/>
      <c r="W1" s="15"/>
      <c r="X1" s="15"/>
      <c r="Y1" s="15"/>
      <c r="Z1" s="15"/>
      <c r="AA1" s="15"/>
      <c r="AB1" s="15"/>
      <c r="AC1" s="15"/>
      <c r="AD1" s="15"/>
    </row>
    <row r="2" spans="1:32" x14ac:dyDescent="0.25">
      <c r="O2" s="6" t="s">
        <v>12</v>
      </c>
      <c r="P2" s="14">
        <f>'2. Inputs and results'!B81</f>
        <v>0.04</v>
      </c>
      <c r="R2" s="15"/>
      <c r="S2" s="15"/>
      <c r="T2" s="15"/>
      <c r="U2" s="6"/>
      <c r="V2" s="15"/>
      <c r="W2" s="15"/>
      <c r="X2" s="15"/>
      <c r="Y2" s="15"/>
      <c r="Z2" s="6"/>
      <c r="AA2" s="6"/>
      <c r="AB2" s="6"/>
      <c r="AC2" s="6"/>
      <c r="AD2" s="6"/>
    </row>
    <row r="3" spans="1:32" x14ac:dyDescent="0.25">
      <c r="G3" s="25" t="s">
        <v>134</v>
      </c>
      <c r="H3" s="25"/>
      <c r="I3" s="11"/>
      <c r="J3" s="11"/>
      <c r="K3" s="11"/>
      <c r="R3" s="15"/>
      <c r="S3" s="15"/>
      <c r="T3" s="15"/>
      <c r="U3" s="6" t="s">
        <v>53</v>
      </c>
      <c r="V3" s="15"/>
      <c r="W3" s="15"/>
      <c r="X3" s="15"/>
      <c r="Y3" s="15"/>
      <c r="Z3" t="s">
        <v>65</v>
      </c>
      <c r="AA3" t="s">
        <v>156</v>
      </c>
      <c r="AB3" t="s">
        <v>156</v>
      </c>
      <c r="AC3" t="s">
        <v>156</v>
      </c>
      <c r="AD3" t="s">
        <v>156</v>
      </c>
      <c r="AE3" t="s">
        <v>31</v>
      </c>
    </row>
    <row r="4" spans="1:32" x14ac:dyDescent="0.25">
      <c r="A4" t="s">
        <v>0</v>
      </c>
      <c r="C4" s="6" t="s">
        <v>58</v>
      </c>
      <c r="D4" s="6" t="s">
        <v>27</v>
      </c>
      <c r="E4" s="6" t="s">
        <v>61</v>
      </c>
      <c r="F4" s="6" t="s">
        <v>60</v>
      </c>
      <c r="G4" s="11" t="s">
        <v>29</v>
      </c>
      <c r="H4" s="11" t="s">
        <v>103</v>
      </c>
      <c r="I4" s="11" t="s">
        <v>30</v>
      </c>
      <c r="J4" s="11" t="s">
        <v>155</v>
      </c>
      <c r="K4" t="s">
        <v>50</v>
      </c>
      <c r="L4" t="s">
        <v>57</v>
      </c>
      <c r="M4" t="s">
        <v>34</v>
      </c>
      <c r="N4" t="s">
        <v>45</v>
      </c>
      <c r="O4" t="s">
        <v>14</v>
      </c>
      <c r="P4" t="s">
        <v>51</v>
      </c>
      <c r="Q4" t="s">
        <v>16</v>
      </c>
      <c r="R4" s="15" t="s">
        <v>62</v>
      </c>
      <c r="S4" s="15" t="s">
        <v>35</v>
      </c>
      <c r="T4" s="15" t="s">
        <v>52</v>
      </c>
      <c r="U4" s="15" t="s">
        <v>63</v>
      </c>
      <c r="V4" s="15" t="s">
        <v>37</v>
      </c>
      <c r="W4" s="15" t="s">
        <v>64</v>
      </c>
      <c r="X4" s="15" t="s">
        <v>36</v>
      </c>
      <c r="Y4" s="15" t="s">
        <v>52</v>
      </c>
      <c r="Z4" s="15" t="s">
        <v>41</v>
      </c>
      <c r="AA4" s="15" t="s">
        <v>75</v>
      </c>
      <c r="AB4" s="15" t="s">
        <v>47</v>
      </c>
      <c r="AC4" s="15" t="s">
        <v>74</v>
      </c>
      <c r="AD4" s="15" t="s">
        <v>48</v>
      </c>
      <c r="AE4" t="s">
        <v>33</v>
      </c>
      <c r="AF4" t="s">
        <v>32</v>
      </c>
    </row>
    <row r="5" spans="1:32" x14ac:dyDescent="0.25">
      <c r="A5">
        <v>0</v>
      </c>
      <c r="B5">
        <f>IF(A5&lt;('2. Inputs and results'!$B$21+1),A5," ")</f>
        <v>0</v>
      </c>
      <c r="C5" s="4">
        <v>0</v>
      </c>
      <c r="D5" s="4">
        <f>C5</f>
        <v>0</v>
      </c>
      <c r="E5" s="4">
        <v>0</v>
      </c>
      <c r="F5" s="4"/>
      <c r="G5" s="4">
        <v>0</v>
      </c>
      <c r="H5" s="4">
        <v>0</v>
      </c>
      <c r="I5" s="4">
        <v>0</v>
      </c>
      <c r="J5" s="4"/>
      <c r="K5" s="4">
        <f>G5+I5+H5+J5</f>
        <v>0</v>
      </c>
      <c r="L5" s="4">
        <f>'2. Inputs and results'!B73-('2. Inputs and results'!B77*'2. Inputs and results'!B73)</f>
        <v>156400</v>
      </c>
      <c r="M5" s="4"/>
      <c r="N5" s="4"/>
      <c r="O5" s="4"/>
      <c r="P5" s="4"/>
      <c r="Q5" s="4"/>
      <c r="R5" s="4">
        <f>-L5</f>
        <v>-156400</v>
      </c>
      <c r="S5" s="4"/>
      <c r="T5" s="4"/>
      <c r="U5" s="4">
        <f>R5</f>
        <v>-156400</v>
      </c>
      <c r="V5" s="4"/>
      <c r="W5" s="4">
        <f>-L5</f>
        <v>-156400</v>
      </c>
      <c r="X5" s="4"/>
      <c r="Y5" s="4"/>
      <c r="Z5" s="4">
        <f>W5</f>
        <v>-156400</v>
      </c>
      <c r="AA5" s="4">
        <f>G5+I5+H5+T5-$V$5</f>
        <v>0</v>
      </c>
      <c r="AB5" s="20">
        <f>IF(A5&lt;('2. Inputs and results'!$B$21+1),AA5/L5,NA())</f>
        <v>0</v>
      </c>
      <c r="AC5" s="29">
        <f>(C5+Y5-$V$5)</f>
        <v>0</v>
      </c>
      <c r="AD5" s="20">
        <f>IF(A5&lt;('2. Inputs and results'!$B$21+1),AC5/L5,NA())</f>
        <v>0</v>
      </c>
      <c r="AE5">
        <f>IF(A5&lt;('2. Inputs and results'!$B$21+1),-'2. Inputs and results'!$B$121*A5," ")</f>
        <v>0</v>
      </c>
      <c r="AF5">
        <f>IF(A5&lt;('2. Inputs and results'!$B$21+1),AE5/1000,NA())</f>
        <v>0</v>
      </c>
    </row>
    <row r="6" spans="1:32" x14ac:dyDescent="0.25">
      <c r="A6">
        <f>A5+1</f>
        <v>1</v>
      </c>
      <c r="B6">
        <f>IF(A6&lt;('2. Inputs and results'!$B$21+1),A6," ")</f>
        <v>1</v>
      </c>
      <c r="C6" s="4">
        <f>IF(A6&lt;('2. Inputs and results'!$B$21+1),'2. Inputs and results'!$B$99+'2. Inputs and results'!$B$101," ")</f>
        <v>11460</v>
      </c>
      <c r="D6" s="4">
        <f>C6</f>
        <v>11460</v>
      </c>
      <c r="E6" s="4">
        <f>IF(B6&lt;('2. Inputs and results'!$B$21+1),C6/((1+$P$2)^A6)," ")</f>
        <v>11019.23076923077</v>
      </c>
      <c r="F6" s="4">
        <f>E6</f>
        <v>11019.23076923077</v>
      </c>
      <c r="G6" s="4">
        <f>'2. Inputs and results'!B93</f>
        <v>11700</v>
      </c>
      <c r="H6" s="4">
        <f>'2. Inputs and results'!B97</f>
        <v>0</v>
      </c>
      <c r="I6" s="4">
        <f>'2. Inputs and results'!B95</f>
        <v>-240</v>
      </c>
      <c r="J6" s="4">
        <f>'2. Inputs and results'!B101</f>
        <v>0</v>
      </c>
      <c r="K6" s="4">
        <f>G6+I6+H6+J6</f>
        <v>11460</v>
      </c>
      <c r="L6" s="4">
        <f>'2. Inputs and results'!B73-('2. Inputs and results'!B77*'2. Inputs and results'!B73)</f>
        <v>156400</v>
      </c>
      <c r="M6" s="4">
        <f>IF(A6&lt;('2. Inputs and results'!$B$21+1),'2. Inputs and results'!$B$75*'2. Inputs and results'!$B$73," ")</f>
        <v>1840</v>
      </c>
      <c r="N6" s="4">
        <f>IF(A6&lt;('2. Inputs and results'!$B$21+1),M6/((1+$P$2)^A6)," ")</f>
        <v>1769.2307692307693</v>
      </c>
      <c r="O6" s="4">
        <f>L6</f>
        <v>156400</v>
      </c>
      <c r="P6" s="4">
        <f>IF(A6&lt;('2. Inputs and results'!$B$21+1),(G6+I6+H6+J6)/((1+$P$2)^A6)," ")</f>
        <v>11019.23076923077</v>
      </c>
      <c r="Q6" s="4">
        <f>P6</f>
        <v>11019.23076923077</v>
      </c>
      <c r="R6" s="4">
        <f>-L6+G6+I6+H6+J6+T6-$V$6</f>
        <v>-149908</v>
      </c>
      <c r="S6" s="4">
        <f>IF(A6&lt;('2. Inputs and results'!$B$21+1),'2. Inputs and results'!$B$79*(R5)," ")</f>
        <v>-3128</v>
      </c>
      <c r="T6" s="4">
        <f>IF(S6&lt;0,S6,0)</f>
        <v>-3128</v>
      </c>
      <c r="U6" s="4">
        <f>IF(A6&lt;('2. Inputs and results'!$B$21+1),U5+(T6+I6+G6+H6+J6-$V$6)/((1+$P$2)^A6),NA())</f>
        <v>-150157.69230769231</v>
      </c>
      <c r="V6" s="4">
        <f>'2. Inputs and results'!$B$75*'2. Inputs and results'!$B$73</f>
        <v>1840</v>
      </c>
      <c r="W6" s="4">
        <f>-L6+C6+Y6-$V$6</f>
        <v>-149908</v>
      </c>
      <c r="X6" s="4">
        <f>IF(A6&lt;('2. Inputs and results'!$B$21+1),'2. Inputs and results'!$B$79*W5," ")</f>
        <v>-3128</v>
      </c>
      <c r="Y6" s="4">
        <f>IF(X6&lt;0,X6,0)</f>
        <v>-3128</v>
      </c>
      <c r="Z6" s="4">
        <f>IF(A6&lt;('2. Inputs and results'!$B$21+1),Z5+(C6-$V$6+Y6)/((1+$P$2)^A6),NA())</f>
        <v>-150157.69230769231</v>
      </c>
      <c r="AA6" s="4">
        <f>IF(A6&lt;('2. Inputs and results'!$B$21+1),AA5+(G6+I6+H6+T6-$V$6)," ")</f>
        <v>6492</v>
      </c>
      <c r="AB6" s="20">
        <f>IF(A6&lt;('2. Inputs and results'!$B$21+1),AA6/L6,NA())</f>
        <v>4.1508951406649619E-2</v>
      </c>
      <c r="AC6" s="29">
        <f>IF(A6&lt;('2. Inputs and results'!$B$21+1),AC5+(C6+Y6-$V$6)," ")</f>
        <v>6492</v>
      </c>
      <c r="AD6" s="20">
        <f>IF(A6&lt;('2. Inputs and results'!$B$21+1),AC6/L6,NA())</f>
        <v>4.1508951406649619E-2</v>
      </c>
      <c r="AE6">
        <f>IF(A6&lt;('2. Inputs and results'!$B$21+1),-'2. Inputs and results'!$B$121*A6," ")</f>
        <v>-20400</v>
      </c>
      <c r="AF6">
        <f>IF(A6&lt;('2. Inputs and results'!$B$21+1),AE6/1000,NA())</f>
        <v>-20.399999999999999</v>
      </c>
    </row>
    <row r="7" spans="1:32" x14ac:dyDescent="0.25">
      <c r="A7">
        <f t="shared" ref="A7:A55" si="0">A6+1</f>
        <v>2</v>
      </c>
      <c r="B7">
        <f>IF(A7&lt;('2. Inputs and results'!$B$21+1),A7," ")</f>
        <v>2</v>
      </c>
      <c r="C7" s="4">
        <f>IF(A7&lt;('2. Inputs and results'!$B$21+1),'2. Inputs and results'!$B$99+'2. Inputs and results'!$B$101," ")</f>
        <v>11460</v>
      </c>
      <c r="D7" s="4">
        <f>IF(A7&lt;('2. Inputs and results'!$B$21+1),D6+C7," ")</f>
        <v>22920</v>
      </c>
      <c r="E7" s="4">
        <f>IF(B7&lt;('2. Inputs and results'!$B$21+1),C7/((1+$P$2)^A7)," ")</f>
        <v>10595.41420118343</v>
      </c>
      <c r="F7" s="4">
        <f>IF(A7&lt;('2. Inputs and results'!$B$21+1),F6+E7," ")</f>
        <v>21614.6449704142</v>
      </c>
      <c r="G7" s="4">
        <f>IF(A7&lt;('2. Inputs and results'!$B$21+1),G6*(1+'2. Inputs and results'!$B$46)," ")</f>
        <v>12402</v>
      </c>
      <c r="H7" s="4">
        <f>IF(A7&lt;('2. Inputs and results'!$B$21+1),H6*(1+'2. Inputs and results'!$B$58)," ")</f>
        <v>0</v>
      </c>
      <c r="I7" s="4">
        <f>IF(A7&lt;('2. Inputs and results'!$B$21+1),I6*(1+'2. Inputs and results'!$B$34)," ")</f>
        <v>-254.4</v>
      </c>
      <c r="J7" s="4">
        <f>IF(A7&lt;('2. Inputs and results'!$B$21+1),J6*(1+'2. Inputs and results'!$B$68)," ")</f>
        <v>0</v>
      </c>
      <c r="K7" s="4">
        <f>IF('Solution 1, (hidden) (2)'!A7&lt;('2. Inputs and results'!$B$21+1),K6+(G7+I7+H7+J7),NA())</f>
        <v>23607.599999999999</v>
      </c>
      <c r="L7" s="4">
        <f>IF(A7&lt;('2. Inputs and results'!$B$21+1),L6,NA())</f>
        <v>156400</v>
      </c>
      <c r="M7" s="4">
        <f>IF(A7&lt;('2. Inputs and results'!$B$21+1),'2. Inputs and results'!$B$75*'2. Inputs and results'!$B$73," ")</f>
        <v>1840</v>
      </c>
      <c r="N7" s="4">
        <f>IF(A7&lt;('2. Inputs and results'!$B$21+1),M7/((1+$P$2)^A7)," ")</f>
        <v>1701.1834319526624</v>
      </c>
      <c r="O7" s="4">
        <f>IF(A7&lt;('2. Inputs and results'!$B$21+1),'2. Inputs and results'!$B$73*'2. Inputs and results'!$B$75+O6," ")</f>
        <v>158240</v>
      </c>
      <c r="P7" s="4">
        <f>IF(A7&lt;('2. Inputs and results'!$B$21+1),(G7+I7+H7+J7)/((1+$P$2)^A7)," ")</f>
        <v>11231.139053254437</v>
      </c>
      <c r="Q7" s="4">
        <f>IF(A7&lt;('2. Inputs and results'!$B$21+1),Q6+P7," ")</f>
        <v>22250.369822485205</v>
      </c>
      <c r="R7" s="4">
        <f>IF(A7&lt;('2. Inputs and results'!$B$21+1),R6+G7+I7+H7+J7+T7-$V$6,NA())</f>
        <v>-142598.56</v>
      </c>
      <c r="S7" s="4">
        <f>IF(A7&lt;('2. Inputs and results'!$B$21+1),'2. Inputs and results'!$B$79*(R6)," ")</f>
        <v>-2998.16</v>
      </c>
      <c r="T7" s="4">
        <f t="shared" ref="T7:T55" si="1">IF(S7&lt;0,S7,0)</f>
        <v>-2998.16</v>
      </c>
      <c r="U7" s="4">
        <f>IF(A7&lt;('2. Inputs and results'!$B$21+1),U6+(T7+I7+G7+H7+J7-$V$6)/((1+$P$2)^A7),NA())</f>
        <v>-143399.70414201185</v>
      </c>
      <c r="V7" s="4">
        <f>IF(A7&lt;('2. Inputs and results'!$B$21+1),V6+('2. Inputs and results'!$B$75*'2. Inputs and results'!$B$73)," ")</f>
        <v>3680</v>
      </c>
      <c r="W7" s="4">
        <f>IF(A7&lt;('2. Inputs and results'!$B$21+1),W6+C7+Y7-$V$6,NA())</f>
        <v>-143286.16</v>
      </c>
      <c r="X7" s="4">
        <f>IF(A7&lt;('2. Inputs and results'!$B$21+1),'2. Inputs and results'!$B$79*W6," ")</f>
        <v>-2998.16</v>
      </c>
      <c r="Y7" s="4">
        <f t="shared" ref="Y7:Y55" si="2">IF(X7&lt;0,X7,0)</f>
        <v>-2998.16</v>
      </c>
      <c r="Z7" s="4">
        <f>IF(A7&lt;('2. Inputs and results'!$B$21+1),Z6+(C7-$V$6+Y7)/((1+$P$2)^A7),NA())</f>
        <v>-144035.42899408285</v>
      </c>
      <c r="AA7" s="4">
        <f>IF(A7&lt;('2. Inputs and results'!$B$21+1),AA6+(G7+I7+H7+T7-$V$6)," ")</f>
        <v>13801.44</v>
      </c>
      <c r="AB7" s="20">
        <f>IF(A7&lt;('2. Inputs and results'!$B$21+1),AA7/L7,NA())</f>
        <v>8.8244501278772383E-2</v>
      </c>
      <c r="AC7" s="29">
        <f>IF(A7&lt;('2. Inputs and results'!$B$21+1),AC6+(C7+Y7-$V$6)," ")</f>
        <v>13113.84</v>
      </c>
      <c r="AD7" s="20">
        <f>IF(A7&lt;('2. Inputs and results'!$B$21+1),AC7/L7,NA())</f>
        <v>8.384808184143222E-2</v>
      </c>
      <c r="AE7">
        <f>IF(A7&lt;('2. Inputs and results'!$B$21+1),-'2. Inputs and results'!$B$121*A7," ")</f>
        <v>-40800</v>
      </c>
      <c r="AF7">
        <f>IF(A7&lt;('2. Inputs and results'!$B$21+1),AE7/1000,NA())</f>
        <v>-40.799999999999997</v>
      </c>
    </row>
    <row r="8" spans="1:32" x14ac:dyDescent="0.25">
      <c r="A8">
        <f t="shared" si="0"/>
        <v>3</v>
      </c>
      <c r="B8">
        <f>IF(A8&lt;('2. Inputs and results'!$B$21+1),A8," ")</f>
        <v>3</v>
      </c>
      <c r="C8" s="4">
        <f>IF(A8&lt;('2. Inputs and results'!$B$21+1),'2. Inputs and results'!$B$99+'2. Inputs and results'!$B$101," ")</f>
        <v>11460</v>
      </c>
      <c r="D8" s="4">
        <f>IF(A8&lt;('2. Inputs and results'!$B$21+1),D7+C8,NA())</f>
        <v>34380</v>
      </c>
      <c r="E8" s="4">
        <f>IF(B8&lt;('2. Inputs and results'!$B$21+1),C8/((1+$P$2)^A8)," ")</f>
        <v>10187.898270368683</v>
      </c>
      <c r="F8" s="4">
        <f>IF(A8&lt;('2. Inputs and results'!$B$21+1),F7+E8," ")</f>
        <v>31802.543240782885</v>
      </c>
      <c r="G8" s="4">
        <f>IF(A8&lt;('2. Inputs and results'!$B$21+1),G7*(1+'2. Inputs and results'!$B$46)," ")</f>
        <v>13146.12</v>
      </c>
      <c r="H8" s="4">
        <f>IF(A8&lt;('2. Inputs and results'!$B$21+1),H7*(1+'2. Inputs and results'!$B$58)," ")</f>
        <v>0</v>
      </c>
      <c r="I8" s="4">
        <f>IF(A8&lt;('2. Inputs and results'!$B$21+1),I7*(1+'2. Inputs and results'!$B$34)," ")</f>
        <v>-269.66400000000004</v>
      </c>
      <c r="J8" s="4">
        <f>IF(A8&lt;('2. Inputs and results'!$B$21+1),J7*(1+'2. Inputs and results'!$B$68)," ")</f>
        <v>0</v>
      </c>
      <c r="K8" s="4">
        <f>IF('Solution 1, (hidden) (2)'!A8&lt;('2. Inputs and results'!$B$21+1),K7+(G8+I8+H8+J8),NA())</f>
        <v>36484.055999999997</v>
      </c>
      <c r="L8" s="4">
        <f>IF(A8&lt;('2. Inputs and results'!$B$21+1),L7,NA())</f>
        <v>156400</v>
      </c>
      <c r="M8" s="4">
        <f>IF(A8&lt;('2. Inputs and results'!$B$21+1),'2. Inputs and results'!$B$75*'2. Inputs and results'!$B$73," ")</f>
        <v>1840</v>
      </c>
      <c r="N8" s="4">
        <f>IF(A8&lt;('2. Inputs and results'!$B$21+1),M8/((1+$P$2)^A8)," ")</f>
        <v>1635.7532999544833</v>
      </c>
      <c r="O8" s="4">
        <f>IF(A8&lt;('2. Inputs and results'!$B$21+1),'2. Inputs and results'!$B$73*'2. Inputs and results'!$B$75+O7," ")</f>
        <v>160080</v>
      </c>
      <c r="P8" s="4">
        <f>IF(A8&lt;('2. Inputs and results'!$B$21+1),(G8+I8+H8+J8)/((1+$P$2)^A8)," ")</f>
        <v>11447.122496586253</v>
      </c>
      <c r="Q8" s="4">
        <f>IF(A8&lt;('2. Inputs and results'!$B$21+1),Q7+P8," ")</f>
        <v>33697.492319071462</v>
      </c>
      <c r="R8" s="4">
        <f>IF(A8&lt;('2. Inputs and results'!$B$21+1),R7+G8+I8+H8+J8+T8-$V$6,NA())</f>
        <v>-134414.07520000002</v>
      </c>
      <c r="S8" s="4">
        <f>IF(A8&lt;('2. Inputs and results'!$B$21+1),'2. Inputs and results'!$B$79*(R7)," ")</f>
        <v>-2851.9712</v>
      </c>
      <c r="T8" s="4">
        <f t="shared" si="1"/>
        <v>-2851.9712</v>
      </c>
      <c r="U8" s="4">
        <f>IF(A8&lt;('2. Inputs and results'!$B$21+1),U7+(T8+I8+G8+H8+J8-$V$6)/((1+$P$2)^A8),NA())</f>
        <v>-136123.72695721439</v>
      </c>
      <c r="V8" s="4">
        <f>IF(A8&lt;('2. Inputs and results'!$B$21+1),V7+('2. Inputs and results'!$B$75*'2. Inputs and results'!$B$73)," ")</f>
        <v>5520</v>
      </c>
      <c r="W8" s="4">
        <f>IF(A8&lt;('2. Inputs and results'!$B$21+1),W7+C8+Y8-$V$6,NA())</f>
        <v>-136531.88320000001</v>
      </c>
      <c r="X8" s="4">
        <f>IF(A8&lt;('2. Inputs and results'!$B$21+1),'2. Inputs and results'!$B$79*W7," ")</f>
        <v>-2865.7231999999999</v>
      </c>
      <c r="Y8" s="4">
        <f t="shared" si="2"/>
        <v>-2865.7231999999999</v>
      </c>
      <c r="Z8" s="4">
        <f>IF(A8&lt;('2. Inputs and results'!$B$21+1),Z7+(C8-$V$6+Y8)/((1+$P$2)^A8),NA())</f>
        <v>-138030.90151342741</v>
      </c>
      <c r="AA8" s="4">
        <f>IF(A8&lt;('2. Inputs and results'!$B$21+1),AA7+(G8+I8+H8+T8-$V$6)," ")</f>
        <v>21985.924800000001</v>
      </c>
      <c r="AB8" s="20">
        <f>IF(A8&lt;('2. Inputs and results'!$B$21+1),AA8/L8,NA())</f>
        <v>0.14057496675191816</v>
      </c>
      <c r="AC8" s="29">
        <f>IF(A8&lt;('2. Inputs and results'!$B$21+1),AC7+(C8+Y8-$V$6)," ")</f>
        <v>19868.1168</v>
      </c>
      <c r="AD8" s="20">
        <f>IF(A8&lt;('2. Inputs and results'!$B$21+1),AC8/L8,NA())</f>
        <v>0.12703399488491049</v>
      </c>
      <c r="AE8">
        <f>IF(A8&lt;('2. Inputs and results'!$B$21+1),-'2. Inputs and results'!$B$121*A8," ")</f>
        <v>-61200</v>
      </c>
      <c r="AF8">
        <f>IF(A8&lt;('2. Inputs and results'!$B$21+1),AE8/1000,NA())</f>
        <v>-61.2</v>
      </c>
    </row>
    <row r="9" spans="1:32" x14ac:dyDescent="0.25">
      <c r="A9">
        <f t="shared" si="0"/>
        <v>4</v>
      </c>
      <c r="B9">
        <f>IF(A9&lt;('2. Inputs and results'!$B$21+1),A9," ")</f>
        <v>4</v>
      </c>
      <c r="C9" s="4">
        <f>IF(A9&lt;('2. Inputs and results'!$B$21+1),'2. Inputs and results'!$B$99+'2. Inputs and results'!$B$101," ")</f>
        <v>11460</v>
      </c>
      <c r="D9" s="4">
        <f>IF(A9&lt;('2. Inputs and results'!$B$21+1),D8+C9,NA())</f>
        <v>45840</v>
      </c>
      <c r="E9" s="4">
        <f>IF(B9&lt;('2. Inputs and results'!$B$21+1),C9/((1+$P$2)^A9)," ")</f>
        <v>9796.0560292006558</v>
      </c>
      <c r="F9" s="4">
        <f>IF(A9&lt;('2. Inputs and results'!$B$21+1),F8+E9," ")</f>
        <v>41598.599269983541</v>
      </c>
      <c r="G9" s="4">
        <f>IF(A9&lt;('2. Inputs and results'!$B$21+1),G8*(1+'2. Inputs and results'!$B$46)," ")</f>
        <v>13934.887200000001</v>
      </c>
      <c r="H9" s="4">
        <f>IF(A9&lt;('2. Inputs and results'!$B$21+1),H8*(1+'2. Inputs and results'!$B$58)," ")</f>
        <v>0</v>
      </c>
      <c r="I9" s="4">
        <f>IF(A9&lt;('2. Inputs and results'!$B$21+1),I8*(1+'2. Inputs and results'!$B$34)," ")</f>
        <v>-285.84384000000006</v>
      </c>
      <c r="J9" s="4">
        <f>IF(A9&lt;('2. Inputs and results'!$B$21+1),J8*(1+'2. Inputs and results'!$B$68)," ")</f>
        <v>0</v>
      </c>
      <c r="K9" s="4">
        <f>IF('Solution 1, (hidden) (2)'!A9&lt;('2. Inputs and results'!$B$21+1),K8+(G9+I9+H9+J9),NA())</f>
        <v>50133.09936</v>
      </c>
      <c r="L9" s="4">
        <f>IF(A9&lt;('2. Inputs and results'!$B$21+1),L8,NA())</f>
        <v>156400</v>
      </c>
      <c r="M9" s="4">
        <f>IF(A9&lt;('2. Inputs and results'!$B$21+1),'2. Inputs and results'!$B$75*'2. Inputs and results'!$B$73," ")</f>
        <v>1840</v>
      </c>
      <c r="N9" s="4">
        <f>IF(A9&lt;('2. Inputs and results'!$B$21+1),M9/((1+$P$2)^A9)," ")</f>
        <v>1572.8397114946952</v>
      </c>
      <c r="O9" s="4">
        <f>IF(A9&lt;('2. Inputs and results'!$B$21+1),'2. Inputs and results'!$B$73*'2. Inputs and results'!$B$75+O8," ")</f>
        <v>161920</v>
      </c>
      <c r="P9" s="4">
        <f>IF(A9&lt;('2. Inputs and results'!$B$21+1),(G9+I9+H9+J9)/((1+$P$2)^A9)," ")</f>
        <v>11667.25946767445</v>
      </c>
      <c r="Q9" s="4">
        <f>IF(A9&lt;('2. Inputs and results'!$B$21+1),Q8+P9," ")</f>
        <v>45364.75178674591</v>
      </c>
      <c r="R9" s="4">
        <f>IF(A9&lt;('2. Inputs and results'!$B$21+1),R8+G9+I9+H9+J9+T9-$V$6,NA())</f>
        <v>-125293.31334400002</v>
      </c>
      <c r="S9" s="4">
        <f>IF(A9&lt;('2. Inputs and results'!$B$21+1),'2. Inputs and results'!$B$79*(R8)," ")</f>
        <v>-2688.2815040000005</v>
      </c>
      <c r="T9" s="4">
        <f t="shared" si="1"/>
        <v>-2688.2815040000005</v>
      </c>
      <c r="U9" s="4">
        <f>IF(A9&lt;('2. Inputs and results'!$B$21+1),U8+(T9+I9+G9+H9+J9-$V$6)/((1+$P$2)^A9),NA())</f>
        <v>-128327.26149732152</v>
      </c>
      <c r="V9" s="4">
        <f>IF(A9&lt;('2. Inputs and results'!$B$21+1),V8+('2. Inputs and results'!$B$75*'2. Inputs and results'!$B$73)," ")</f>
        <v>7360</v>
      </c>
      <c r="W9" s="4">
        <f>IF(A9&lt;('2. Inputs and results'!$B$21+1),W8+C9+Y9-$V$6,NA())</f>
        <v>-129642.52086400001</v>
      </c>
      <c r="X9" s="4">
        <f>IF(A9&lt;('2. Inputs and results'!$B$21+1),'2. Inputs and results'!$B$79*W8," ")</f>
        <v>-2730.6376640000003</v>
      </c>
      <c r="Y9" s="4">
        <f t="shared" si="2"/>
        <v>-2730.6376640000003</v>
      </c>
      <c r="Z9" s="4">
        <f>IF(A9&lt;('2. Inputs and results'!$B$21+1),Z8+(C9-$V$6+Y9)/((1+$P$2)^A9),NA())</f>
        <v>-132141.84571509226</v>
      </c>
      <c r="AA9" s="4">
        <f>IF(A9&lt;('2. Inputs and results'!$B$21+1),AA8+(G9+I9+H9+T9-$V$6)," ")</f>
        <v>31106.686656000002</v>
      </c>
      <c r="AB9" s="20">
        <f>IF(A9&lt;('2. Inputs and results'!$B$21+1),AA9/L9,NA())</f>
        <v>0.19889185841432225</v>
      </c>
      <c r="AC9" s="29">
        <f>IF(A9&lt;('2. Inputs and results'!$B$21+1),AC8+(C9+Y9-$V$6)," ")</f>
        <v>26757.479136000002</v>
      </c>
      <c r="AD9" s="20">
        <f>IF(A9&lt;('2. Inputs and results'!$B$21+1),AC9/L9,NA())</f>
        <v>0.17108362618925832</v>
      </c>
      <c r="AE9">
        <f>IF(A9&lt;('2. Inputs and results'!$B$21+1),-'2. Inputs and results'!$B$121*A9," ")</f>
        <v>-81600</v>
      </c>
      <c r="AF9">
        <f>IF(A9&lt;('2. Inputs and results'!$B$21+1),AE9/1000,NA())</f>
        <v>-81.599999999999994</v>
      </c>
    </row>
    <row r="10" spans="1:32" x14ac:dyDescent="0.25">
      <c r="A10">
        <f t="shared" si="0"/>
        <v>5</v>
      </c>
      <c r="B10">
        <f>IF(A10&lt;('2. Inputs and results'!$B$21+1),A10," ")</f>
        <v>5</v>
      </c>
      <c r="C10" s="4">
        <f>IF(A10&lt;('2. Inputs and results'!$B$21+1),'2. Inputs and results'!$B$99+'2. Inputs and results'!$B$101," ")</f>
        <v>11460</v>
      </c>
      <c r="D10" s="4">
        <f>IF(A10&lt;('2. Inputs and results'!$B$21+1),D9+C10,NA())</f>
        <v>57300</v>
      </c>
      <c r="E10" s="4">
        <f>IF(B10&lt;('2. Inputs and results'!$B$21+1),C10/((1+$P$2)^A10)," ")</f>
        <v>9419.2846434621679</v>
      </c>
      <c r="F10" s="4">
        <f>IF(A10&lt;('2. Inputs and results'!$B$21+1),F9+E10," ")</f>
        <v>51017.883913445708</v>
      </c>
      <c r="G10" s="4">
        <f>IF(A10&lt;('2. Inputs and results'!$B$21+1),G9*(1+'2. Inputs and results'!$B$46)," ")</f>
        <v>14770.980432000002</v>
      </c>
      <c r="H10" s="4">
        <f>IF(A10&lt;('2. Inputs and results'!$B$21+1),H9*(1+'2. Inputs and results'!$B$58)," ")</f>
        <v>0</v>
      </c>
      <c r="I10" s="4">
        <f>IF(A10&lt;('2. Inputs and results'!$B$21+1),I9*(1+'2. Inputs and results'!$B$34)," ")</f>
        <v>-302.99447040000007</v>
      </c>
      <c r="J10" s="4">
        <f>IF(A10&lt;('2. Inputs and results'!$B$21+1),J9*(1+'2. Inputs and results'!$B$68)," ")</f>
        <v>0</v>
      </c>
      <c r="K10" s="4">
        <f>IF('Solution 1, (hidden) (2)'!A10&lt;('2. Inputs and results'!$B$21+1),K9+(G10+I10+H10+J10),NA())</f>
        <v>64601.085321600003</v>
      </c>
      <c r="L10" s="4">
        <f>IF(A10&lt;('2. Inputs and results'!$B$21+1),L9,NA())</f>
        <v>156400</v>
      </c>
      <c r="M10" s="4">
        <f>IF(A10&lt;('2. Inputs and results'!$B$21+1),'2. Inputs and results'!$B$75*'2. Inputs and results'!$B$73," ")</f>
        <v>1840</v>
      </c>
      <c r="N10" s="4">
        <f>IF(A10&lt;('2. Inputs and results'!$B$21+1),M10/((1+$P$2)^A10)," ")</f>
        <v>1512.3458764372069</v>
      </c>
      <c r="O10" s="4">
        <f>IF(A10&lt;('2. Inputs and results'!$B$21+1),'2. Inputs and results'!$B$73*'2. Inputs and results'!$B$75+O9," ")</f>
        <v>163760</v>
      </c>
      <c r="P10" s="4">
        <f>IF(A10&lt;('2. Inputs and results'!$B$21+1),(G10+I10+H10+J10)/((1+$P$2)^A10)," ")</f>
        <v>11891.629842052804</v>
      </c>
      <c r="Q10" s="4">
        <f>IF(A10&lt;('2. Inputs and results'!$B$21+1),Q9+P10," ")</f>
        <v>57256.381628798714</v>
      </c>
      <c r="R10" s="4">
        <f>IF(A10&lt;('2. Inputs and results'!$B$21+1),R9+G10+I10+H10+J10+T10-$V$6,NA())</f>
        <v>-115171.19364928002</v>
      </c>
      <c r="S10" s="4">
        <f>IF(A10&lt;('2. Inputs and results'!$B$21+1),'2. Inputs and results'!$B$79*(R9)," ")</f>
        <v>-2505.8662668800007</v>
      </c>
      <c r="T10" s="4">
        <f t="shared" si="1"/>
        <v>-2505.8662668800007</v>
      </c>
      <c r="U10" s="4">
        <f>IF(A10&lt;('2. Inputs and results'!$B$21+1),U9+(T10+I10+G10+H10+J10-$V$6)/((1+$P$2)^A10),NA())</f>
        <v>-120007.61694236846</v>
      </c>
      <c r="V10" s="4">
        <f>IF(A10&lt;('2. Inputs and results'!$B$21+1),V9+('2. Inputs and results'!$B$75*'2. Inputs and results'!$B$73)," ")</f>
        <v>9200</v>
      </c>
      <c r="W10" s="4">
        <f>IF(A10&lt;('2. Inputs and results'!$B$21+1),W9+C10+Y10-$V$6,NA())</f>
        <v>-122615.37128128001</v>
      </c>
      <c r="X10" s="4">
        <f>IF(A10&lt;('2. Inputs and results'!$B$21+1),'2. Inputs and results'!$B$79*W9," ")</f>
        <v>-2592.8504172800003</v>
      </c>
      <c r="Y10" s="4">
        <f t="shared" si="2"/>
        <v>-2592.8504172800003</v>
      </c>
      <c r="Z10" s="4">
        <f>IF(A10&lt;('2. Inputs and results'!$B$21+1),Z9+(C10-$V$6+Y10)/((1+$P$2)^A10),NA())</f>
        <v>-126366.04098980203</v>
      </c>
      <c r="AA10" s="4">
        <f>IF(A10&lt;('2. Inputs and results'!$B$21+1),AA9+(G10+I10+H10+T10-$V$6)," ")</f>
        <v>41228.806350719999</v>
      </c>
      <c r="AB10" s="20">
        <f>IF(A10&lt;('2. Inputs and results'!$B$21+1),AA10/L10,NA())</f>
        <v>0.26361129380255754</v>
      </c>
      <c r="AC10" s="29">
        <f>IF(A10&lt;('2. Inputs and results'!$B$21+1),AC9+(C10+Y10-$V$6)," ")</f>
        <v>33784.62871872</v>
      </c>
      <c r="AD10" s="20">
        <f>IF(A10&lt;('2. Inputs and results'!$B$21+1),AC10/L10,NA())</f>
        <v>0.21601425011969308</v>
      </c>
      <c r="AE10">
        <f>IF(A10&lt;('2. Inputs and results'!$B$21+1),-'2. Inputs and results'!$B$121*A10," ")</f>
        <v>-102000</v>
      </c>
      <c r="AF10">
        <f>IF(A10&lt;('2. Inputs and results'!$B$21+1),AE10/1000,NA())</f>
        <v>-102</v>
      </c>
    </row>
    <row r="11" spans="1:32" x14ac:dyDescent="0.25">
      <c r="A11">
        <f t="shared" si="0"/>
        <v>6</v>
      </c>
      <c r="B11">
        <f>IF(A11&lt;('2. Inputs and results'!$B$21+1),A11," ")</f>
        <v>6</v>
      </c>
      <c r="C11" s="4">
        <f>IF(A11&lt;('2. Inputs and results'!$B$21+1),'2. Inputs and results'!$B$99+'2. Inputs and results'!$B$101," ")</f>
        <v>11460</v>
      </c>
      <c r="D11" s="4">
        <f>IF(A11&lt;('2. Inputs and results'!$B$21+1),D10+C11,NA())</f>
        <v>68760</v>
      </c>
      <c r="E11" s="4">
        <f>IF(B11&lt;('2. Inputs and results'!$B$21+1),C11/((1+$P$2)^A11)," ")</f>
        <v>9057.0044648674702</v>
      </c>
      <c r="F11" s="4">
        <f>IF(A11&lt;('2. Inputs and results'!$B$21+1),F10+E11," ")</f>
        <v>60074.888378313175</v>
      </c>
      <c r="G11" s="4">
        <f>IF(A11&lt;('2. Inputs and results'!$B$21+1),G10*(1+'2. Inputs and results'!$B$46)," ")</f>
        <v>15657.239257920002</v>
      </c>
      <c r="H11" s="4">
        <f>IF(A11&lt;('2. Inputs and results'!$B$21+1),H10*(1+'2. Inputs and results'!$B$58)," ")</f>
        <v>0</v>
      </c>
      <c r="I11" s="4">
        <f>IF(A11&lt;('2. Inputs and results'!$B$21+1),I10*(1+'2. Inputs and results'!$B$34)," ")</f>
        <v>-321.17413862400008</v>
      </c>
      <c r="J11" s="4">
        <f>IF(A11&lt;('2. Inputs and results'!$B$21+1),J10*(1+'2. Inputs and results'!$B$68)," ")</f>
        <v>0</v>
      </c>
      <c r="K11" s="4">
        <f>IF('Solution 1, (hidden) (2)'!A11&lt;('2. Inputs and results'!$B$21+1),K10+(G11+I11+H11+J11),NA())</f>
        <v>79937.150440896003</v>
      </c>
      <c r="L11" s="4">
        <f>IF(A11&lt;('2. Inputs and results'!$B$21+1),L10,NA())</f>
        <v>156400</v>
      </c>
      <c r="M11" s="4">
        <f>IF(A11&lt;('2. Inputs and results'!$B$21+1),'2. Inputs and results'!$B$75*'2. Inputs and results'!$B$73," ")</f>
        <v>1840</v>
      </c>
      <c r="N11" s="4">
        <f>IF(A11&lt;('2. Inputs and results'!$B$21+1),M11/((1+$P$2)^A11)," ")</f>
        <v>1454.1787273434682</v>
      </c>
      <c r="O11" s="4">
        <f>IF(A11&lt;('2. Inputs and results'!$B$21+1),'2. Inputs and results'!$B$73*'2. Inputs and results'!$B$75+O10," ")</f>
        <v>165600</v>
      </c>
      <c r="P11" s="4">
        <f>IF(A11&lt;('2. Inputs and results'!$B$21+1),(G11+I11+H11+J11)/((1+$P$2)^A11)," ")</f>
        <v>12120.315031323051</v>
      </c>
      <c r="Q11" s="4">
        <f>IF(A11&lt;('2. Inputs and results'!$B$21+1),Q10+P11," ")</f>
        <v>69376.696660121757</v>
      </c>
      <c r="R11" s="4">
        <f>IF(A11&lt;('2. Inputs and results'!$B$21+1),R10+G11+I11+H11+J11+T11-$V$6,NA())</f>
        <v>-103978.55240296962</v>
      </c>
      <c r="S11" s="4">
        <f>IF(A11&lt;('2. Inputs and results'!$B$21+1),'2. Inputs and results'!$B$79*(R10)," ")</f>
        <v>-2303.4238729856002</v>
      </c>
      <c r="T11" s="4">
        <f t="shared" si="1"/>
        <v>-2303.4238729856002</v>
      </c>
      <c r="U11" s="4">
        <f>IF(A11&lt;('2. Inputs and results'!$B$21+1),U10+(T11+I11+G11+H11+J11-$V$6)/((1+$P$2)^A11),NA())</f>
        <v>-111161.90998412299</v>
      </c>
      <c r="V11" s="4">
        <f>IF(A11&lt;('2. Inputs and results'!$B$21+1),V10+('2. Inputs and results'!$B$75*'2. Inputs and results'!$B$73)," ")</f>
        <v>11040</v>
      </c>
      <c r="W11" s="4">
        <f>IF(A11&lt;('2. Inputs and results'!$B$21+1),W10+C11+Y11-$V$6,NA())</f>
        <v>-115447.6787069056</v>
      </c>
      <c r="X11" s="4">
        <f>IF(A11&lt;('2. Inputs and results'!$B$21+1),'2. Inputs and results'!$B$79*W10," ")</f>
        <v>-2452.3074256256</v>
      </c>
      <c r="Y11" s="4">
        <f t="shared" si="2"/>
        <v>-2452.3074256256</v>
      </c>
      <c r="Z11" s="4">
        <f>IF(A11&lt;('2. Inputs and results'!$B$21+1),Z10+(C11-$V$6+Y11)/((1+$P$2)^A11),NA())</f>
        <v>-120701.30943230583</v>
      </c>
      <c r="AA11" s="4">
        <f>IF(A11&lt;('2. Inputs and results'!$B$21+1),AA10+(G11+I11+H11+T11-$V$6)," ")</f>
        <v>52421.447597030405</v>
      </c>
      <c r="AB11" s="20">
        <f>IF(A11&lt;('2. Inputs and results'!$B$21+1),AA11/L11,NA())</f>
        <v>0.33517549614469566</v>
      </c>
      <c r="AC11" s="29">
        <f>IF(A11&lt;('2. Inputs and results'!$B$21+1),AC10+(C11+Y11-$V$6)," ")</f>
        <v>40952.321293094399</v>
      </c>
      <c r="AD11" s="20">
        <f>IF(A11&lt;('2. Inputs and results'!$B$21+1),AC11/L11,NA())</f>
        <v>0.26184348652873657</v>
      </c>
      <c r="AE11">
        <f>IF(A11&lt;('2. Inputs and results'!$B$21+1),-'2. Inputs and results'!$B$121*A11," ")</f>
        <v>-122400</v>
      </c>
      <c r="AF11">
        <f>IF(A11&lt;('2. Inputs and results'!$B$21+1),AE11/1000,NA())</f>
        <v>-122.4</v>
      </c>
    </row>
    <row r="12" spans="1:32" x14ac:dyDescent="0.25">
      <c r="A12">
        <f t="shared" si="0"/>
        <v>7</v>
      </c>
      <c r="B12">
        <f>IF(A12&lt;('2. Inputs and results'!$B$21+1),A12," ")</f>
        <v>7</v>
      </c>
      <c r="C12" s="4">
        <f>IF(A12&lt;('2. Inputs and results'!$B$21+1),'2. Inputs and results'!$B$99+'2. Inputs and results'!$B$101," ")</f>
        <v>11460</v>
      </c>
      <c r="D12" s="4">
        <f>IF(A12&lt;('2. Inputs and results'!$B$21+1),D11+C12,NA())</f>
        <v>80220</v>
      </c>
      <c r="E12" s="4">
        <f>IF(B12&lt;('2. Inputs and results'!$B$21+1),C12/((1+$P$2)^A12)," ")</f>
        <v>8708.658139295645</v>
      </c>
      <c r="F12" s="4">
        <f>IF(A12&lt;('2. Inputs and results'!$B$21+1),F11+E12," ")</f>
        <v>68783.546517608818</v>
      </c>
      <c r="G12" s="4">
        <f>IF(A12&lt;('2. Inputs and results'!$B$21+1),G11*(1+'2. Inputs and results'!$B$46)," ")</f>
        <v>16596.673613395204</v>
      </c>
      <c r="H12" s="4">
        <f>IF(A12&lt;('2. Inputs and results'!$B$21+1),H11*(1+'2. Inputs and results'!$B$58)," ")</f>
        <v>0</v>
      </c>
      <c r="I12" s="4">
        <f>IF(A12&lt;('2. Inputs and results'!$B$21+1),I11*(1+'2. Inputs and results'!$B$34)," ")</f>
        <v>-340.44458694144009</v>
      </c>
      <c r="J12" s="4">
        <f>IF(A12&lt;('2. Inputs and results'!$B$21+1),J11*(1+'2. Inputs and results'!$B$68)," ")</f>
        <v>0</v>
      </c>
      <c r="K12" s="4">
        <f>IF('Solution 1, (hidden) (2)'!A12&lt;('2. Inputs and results'!$B$21+1),K11+(G12+I12+H12+J12),NA())</f>
        <v>96193.379467349761</v>
      </c>
      <c r="L12" s="4">
        <f>IF(A12&lt;('2. Inputs and results'!$B$21+1),L11,NA())</f>
        <v>156400</v>
      </c>
      <c r="M12" s="4">
        <f>IF(A12&lt;('2. Inputs and results'!$B$21+1),'2. Inputs and results'!$B$75*'2. Inputs and results'!$B$73," ")</f>
        <v>1840</v>
      </c>
      <c r="N12" s="4">
        <f>IF(A12&lt;('2. Inputs and results'!$B$21+1),M12/((1+$P$2)^A12)," ")</f>
        <v>1398.2487762917963</v>
      </c>
      <c r="O12" s="4">
        <f>IF(A12&lt;('2. Inputs and results'!$B$21+1),'2. Inputs and results'!$B$73*'2. Inputs and results'!$B$75+O11," ")</f>
        <v>167440</v>
      </c>
      <c r="P12" s="4">
        <f>IF(A12&lt;('2. Inputs and results'!$B$21+1),(G12+I12+H12+J12)/((1+$P$2)^A12)," ")</f>
        <v>12353.39801269465</v>
      </c>
      <c r="Q12" s="4">
        <f>IF(A12&lt;('2. Inputs and results'!$B$21+1),Q11+P12," ")</f>
        <v>81730.094672816413</v>
      </c>
      <c r="R12" s="4">
        <f>IF(A12&lt;('2. Inputs and results'!$B$21+1),R11+G12+I12+H12+J12+T12-$V$6,NA())</f>
        <v>-91641.89442457525</v>
      </c>
      <c r="S12" s="4">
        <f>IF(A12&lt;('2. Inputs and results'!$B$21+1),'2. Inputs and results'!$B$79*(R11)," ")</f>
        <v>-2079.5710480593925</v>
      </c>
      <c r="T12" s="4">
        <f t="shared" si="1"/>
        <v>-2079.5710480593925</v>
      </c>
      <c r="U12" s="4">
        <f>IF(A12&lt;('2. Inputs and results'!$B$21+1),U11+(T12+I12+G12+H12+J12-$V$6)/((1+$P$2)^A12),NA())</f>
        <v>-101787.06383095976</v>
      </c>
      <c r="V12" s="4">
        <f>IF(A12&lt;('2. Inputs and results'!$B$21+1),V11+('2. Inputs and results'!$B$75*'2. Inputs and results'!$B$73)," ")</f>
        <v>12880</v>
      </c>
      <c r="W12" s="4">
        <f>IF(A12&lt;('2. Inputs and results'!$B$21+1),W11+C12+Y12-$V$6,NA())</f>
        <v>-108136.63228104371</v>
      </c>
      <c r="X12" s="4">
        <f>IF(A12&lt;('2. Inputs and results'!$B$21+1),'2. Inputs and results'!$B$79*W11," ")</f>
        <v>-2308.9535741381119</v>
      </c>
      <c r="Y12" s="4">
        <f t="shared" si="2"/>
        <v>-2308.9535741381119</v>
      </c>
      <c r="Z12" s="4">
        <f>IF(A12&lt;('2. Inputs and results'!$B$21+1),Z11+(C12-$V$6+Y12)/((1+$P$2)^A12),NA())</f>
        <v>-115145.51502014611</v>
      </c>
      <c r="AA12" s="4">
        <f>IF(A12&lt;('2. Inputs and results'!$B$21+1),AA11+(G12+I12+H12+T12-$V$6)," ")</f>
        <v>64758.105575424779</v>
      </c>
      <c r="AB12" s="20">
        <f>IF(A12&lt;('2. Inputs and results'!$B$21+1),AA12/L12,NA())</f>
        <v>0.41405438347458301</v>
      </c>
      <c r="AC12" s="29">
        <f>IF(A12&lt;('2. Inputs and results'!$B$21+1),AC11+(C12+Y12-$V$6)," ")</f>
        <v>48263.367718956288</v>
      </c>
      <c r="AD12" s="20">
        <f>IF(A12&lt;('2. Inputs and results'!$B$21+1),AC12/L12,NA())</f>
        <v>0.30858930766596093</v>
      </c>
      <c r="AE12">
        <f>IF(A12&lt;('2. Inputs and results'!$B$21+1),-'2. Inputs and results'!$B$121*A12," ")</f>
        <v>-142800</v>
      </c>
      <c r="AF12">
        <f>IF(A12&lt;('2. Inputs and results'!$B$21+1),AE12/1000,NA())</f>
        <v>-142.80000000000001</v>
      </c>
    </row>
    <row r="13" spans="1:32" x14ac:dyDescent="0.25">
      <c r="A13">
        <f t="shared" si="0"/>
        <v>8</v>
      </c>
      <c r="B13">
        <f>IF(A13&lt;('2. Inputs and results'!$B$21+1),A13," ")</f>
        <v>8</v>
      </c>
      <c r="C13" s="4">
        <f>IF(A13&lt;('2. Inputs and results'!$B$21+1),'2. Inputs and results'!$B$99+'2. Inputs and results'!$B$101," ")</f>
        <v>11460</v>
      </c>
      <c r="D13" s="4">
        <f>IF(A13&lt;('2. Inputs and results'!$B$21+1),D12+C13,NA())</f>
        <v>91680</v>
      </c>
      <c r="E13" s="4">
        <f>IF(B13&lt;('2. Inputs and results'!$B$21+1),C13/((1+$P$2)^A13)," ")</f>
        <v>8373.7097493227338</v>
      </c>
      <c r="F13" s="4">
        <f>IF(A13&lt;('2. Inputs and results'!$B$21+1),F12+E13," ")</f>
        <v>77157.256266931552</v>
      </c>
      <c r="G13" s="4">
        <f>IF(A13&lt;('2. Inputs and results'!$B$21+1),G12*(1+'2. Inputs and results'!$B$46)," ")</f>
        <v>17592.474030198915</v>
      </c>
      <c r="H13" s="4">
        <f>IF(A13&lt;('2. Inputs and results'!$B$21+1),H12*(1+'2. Inputs and results'!$B$58)," ")</f>
        <v>0</v>
      </c>
      <c r="I13" s="4">
        <f>IF(A13&lt;('2. Inputs and results'!$B$21+1),I12*(1+'2. Inputs and results'!$B$34)," ")</f>
        <v>-360.87126215792654</v>
      </c>
      <c r="J13" s="4">
        <f>IF(A13&lt;('2. Inputs and results'!$B$21+1),J12*(1+'2. Inputs and results'!$B$68)," ")</f>
        <v>0</v>
      </c>
      <c r="K13" s="4">
        <f>IF('Solution 1, (hidden) (2)'!A13&lt;('2. Inputs and results'!$B$21+1),K12+(G13+I13+H13+J13),NA())</f>
        <v>113424.98223539075</v>
      </c>
      <c r="L13" s="4">
        <f>IF(A13&lt;('2. Inputs and results'!$B$21+1),L12,NA())</f>
        <v>156400</v>
      </c>
      <c r="M13" s="4">
        <f>IF(A13&lt;('2. Inputs and results'!$B$21+1),'2. Inputs and results'!$B$75*'2. Inputs and results'!$B$73," ")</f>
        <v>1840</v>
      </c>
      <c r="N13" s="4">
        <f>IF(A13&lt;('2. Inputs and results'!$B$21+1),M13/((1+$P$2)^A13)," ")</f>
        <v>1344.4699772036502</v>
      </c>
      <c r="O13" s="4">
        <f>IF(A13&lt;('2. Inputs and results'!$B$21+1),'2. Inputs and results'!$B$73*'2. Inputs and results'!$B$75+O12," ")</f>
        <v>169280</v>
      </c>
      <c r="P13" s="4">
        <f>IF(A13&lt;('2. Inputs and results'!$B$21+1),(G13+I13+H13+J13)/((1+$P$2)^A13)," ")</f>
        <v>12590.963359092622</v>
      </c>
      <c r="Q13" s="4">
        <f>IF(A13&lt;('2. Inputs and results'!$B$21+1),Q12+P13," ")</f>
        <v>94321.058031909037</v>
      </c>
      <c r="R13" s="4">
        <f>IF(A13&lt;('2. Inputs and results'!$B$21+1),R12+G13+I13+H13+J13+T13-$V$6,NA())</f>
        <v>-78083.12954502576</v>
      </c>
      <c r="S13" s="4">
        <f>IF(A13&lt;('2. Inputs and results'!$B$21+1),'2. Inputs and results'!$B$79*(R12)," ")</f>
        <v>-1832.8378884915051</v>
      </c>
      <c r="T13" s="4">
        <f t="shared" si="1"/>
        <v>-1832.8378884915051</v>
      </c>
      <c r="U13" s="4">
        <f>IF(A13&lt;('2. Inputs and results'!$B$21+1),U12+(T13+I13+G13+H13+J13-$V$6)/((1+$P$2)^A13),NA())</f>
        <v>-91879.807141548052</v>
      </c>
      <c r="V13" s="4">
        <f>IF(A13&lt;('2. Inputs and results'!$B$21+1),V12+('2. Inputs and results'!$B$75*'2. Inputs and results'!$B$73)," ")</f>
        <v>14720</v>
      </c>
      <c r="W13" s="4">
        <f>IF(A13&lt;('2. Inputs and results'!$B$21+1),W12+C13+Y13-$V$6,NA())</f>
        <v>-100679.36492666458</v>
      </c>
      <c r="X13" s="4">
        <f>IF(A13&lt;('2. Inputs and results'!$B$21+1),'2. Inputs and results'!$B$79*W12," ")</f>
        <v>-2162.7326456208743</v>
      </c>
      <c r="Y13" s="4">
        <f t="shared" si="2"/>
        <v>-2162.7326456208743</v>
      </c>
      <c r="Z13" s="4">
        <f>IF(A13&lt;('2. Inputs and results'!$B$21+1),Z12+(C13-$V$6+Y13)/((1+$P$2)^A13),NA())</f>
        <v>-109696.56280822022</v>
      </c>
      <c r="AA13" s="4">
        <f>IF(A13&lt;('2. Inputs and results'!$B$21+1),AA12+(G13+I13+H13+T13-$V$6)," ")</f>
        <v>78316.870454974269</v>
      </c>
      <c r="AB13" s="20">
        <f>IF(A13&lt;('2. Inputs and results'!$B$21+1),AA13/L13,NA())</f>
        <v>0.50074725354842886</v>
      </c>
      <c r="AC13" s="29">
        <f>IF(A13&lt;('2. Inputs and results'!$B$21+1),AC12+(C13+Y13-$V$6)," ")</f>
        <v>55720.635073335412</v>
      </c>
      <c r="AD13" s="20">
        <f>IF(A13&lt;('2. Inputs and results'!$B$21+1),AC13/L13,NA())</f>
        <v>0.35627004522592975</v>
      </c>
      <c r="AE13">
        <f>IF(A13&lt;('2. Inputs and results'!$B$21+1),-'2. Inputs and results'!$B$121*A13," ")</f>
        <v>-163200</v>
      </c>
      <c r="AF13">
        <f>IF(A13&lt;('2. Inputs and results'!$B$21+1),AE13/1000,NA())</f>
        <v>-163.19999999999999</v>
      </c>
    </row>
    <row r="14" spans="1:32" x14ac:dyDescent="0.25">
      <c r="A14">
        <f t="shared" si="0"/>
        <v>9</v>
      </c>
      <c r="B14">
        <f>IF(A14&lt;('2. Inputs and results'!$B$21+1),A14," ")</f>
        <v>9</v>
      </c>
      <c r="C14" s="4">
        <f>IF(A14&lt;('2. Inputs and results'!$B$21+1),'2. Inputs and results'!$B$99+'2. Inputs and results'!$B$101," ")</f>
        <v>11460</v>
      </c>
      <c r="D14" s="4">
        <f>IF(A14&lt;('2. Inputs and results'!$B$21+1),D13+C14,NA())</f>
        <v>103140</v>
      </c>
      <c r="E14" s="4">
        <f>IF(B14&lt;('2. Inputs and results'!$B$21+1),C14/((1+$P$2)^A14)," ")</f>
        <v>8051.6439897333976</v>
      </c>
      <c r="F14" s="4">
        <f>IF(A14&lt;('2. Inputs and results'!$B$21+1),F13+E14," ")</f>
        <v>85208.900256664943</v>
      </c>
      <c r="G14" s="4">
        <f>IF(A14&lt;('2. Inputs and results'!$B$21+1),G13*(1+'2. Inputs and results'!$B$46)," ")</f>
        <v>18648.022472010849</v>
      </c>
      <c r="H14" s="4">
        <f>IF(A14&lt;('2. Inputs and results'!$B$21+1),H13*(1+'2. Inputs and results'!$B$58)," ")</f>
        <v>0</v>
      </c>
      <c r="I14" s="4">
        <f>IF(A14&lt;('2. Inputs and results'!$B$21+1),I13*(1+'2. Inputs and results'!$B$34)," ")</f>
        <v>-382.52353788740214</v>
      </c>
      <c r="J14" s="4">
        <f>IF(A14&lt;('2. Inputs and results'!$B$21+1),J13*(1+'2. Inputs and results'!$B$68)," ")</f>
        <v>0</v>
      </c>
      <c r="K14" s="4">
        <f>IF('Solution 1, (hidden) (2)'!A14&lt;('2. Inputs and results'!$B$21+1),K13+(G14+I14+H14+J14),NA())</f>
        <v>131690.48116951418</v>
      </c>
      <c r="L14" s="4">
        <f>IF(A14&lt;('2. Inputs and results'!$B$21+1),L13,NA())</f>
        <v>156400</v>
      </c>
      <c r="M14" s="4">
        <f>IF(A14&lt;('2. Inputs and results'!$B$21+1),'2. Inputs and results'!$B$75*'2. Inputs and results'!$B$73," ")</f>
        <v>1840</v>
      </c>
      <c r="N14" s="4">
        <f>IF(A14&lt;('2. Inputs and results'!$B$21+1),M14/((1+$P$2)^A14)," ")</f>
        <v>1292.7595934650481</v>
      </c>
      <c r="O14" s="4">
        <f>IF(A14&lt;('2. Inputs and results'!$B$21+1),'2. Inputs and results'!$B$73*'2. Inputs and results'!$B$75+O13," ")</f>
        <v>171120</v>
      </c>
      <c r="P14" s="4">
        <f>IF(A14&lt;('2. Inputs and results'!$B$21+1),(G14+I14+H14+J14)/((1+$P$2)^A14)," ")</f>
        <v>12833.0972698444</v>
      </c>
      <c r="Q14" s="4">
        <f>IF(A14&lt;('2. Inputs and results'!$B$21+1),Q13+P14," ")</f>
        <v>107154.15530175343</v>
      </c>
      <c r="R14" s="4">
        <f>IF(A14&lt;('2. Inputs and results'!$B$21+1),R13+G14+I14+H14+J14+T14-$V$6,NA())</f>
        <v>-63219.293201802822</v>
      </c>
      <c r="S14" s="4">
        <f>IF(A14&lt;('2. Inputs and results'!$B$21+1),'2. Inputs and results'!$B$79*(R13)," ")</f>
        <v>-1561.6625909005152</v>
      </c>
      <c r="T14" s="4">
        <f t="shared" si="1"/>
        <v>-1561.6625909005152</v>
      </c>
      <c r="U14" s="4">
        <f>IF(A14&lt;('2. Inputs and results'!$B$21+1),U13+(T14+I14+G14+H14+J14-$V$6)/((1+$P$2)^A14),NA())</f>
        <v>-81436.672886985078</v>
      </c>
      <c r="V14" s="4">
        <f>IF(A14&lt;('2. Inputs and results'!$B$21+1),V13+('2. Inputs and results'!$B$75*'2. Inputs and results'!$B$73)," ")</f>
        <v>16560</v>
      </c>
      <c r="W14" s="4">
        <f>IF(A14&lt;('2. Inputs and results'!$B$21+1),W13+C14+Y14-$V$6,NA())</f>
        <v>-93072.952225197878</v>
      </c>
      <c r="X14" s="4">
        <f>IF(A14&lt;('2. Inputs and results'!$B$21+1),'2. Inputs and results'!$B$79*W13," ")</f>
        <v>-2013.5872985332917</v>
      </c>
      <c r="Y14" s="4">
        <f t="shared" si="2"/>
        <v>-2013.5872985332917</v>
      </c>
      <c r="Z14" s="4">
        <f>IF(A14&lt;('2. Inputs and results'!$B$21+1),Z13+(C14-$V$6+Y14)/((1+$P$2)^A14),NA())</f>
        <v>-104352.39813883137</v>
      </c>
      <c r="AA14" s="4">
        <f>IF(A14&lt;('2. Inputs and results'!$B$21+1),AA13+(G14+I14+H14+T14-$V$6)," ")</f>
        <v>93180.706798197207</v>
      </c>
      <c r="AB14" s="20">
        <f>IF(A14&lt;('2. Inputs and results'!$B$21+1),AA14/L14,NA())</f>
        <v>0.595784570320954</v>
      </c>
      <c r="AC14" s="29">
        <f>IF(A14&lt;('2. Inputs and results'!$B$21+1),AC13+(C14+Y14-$V$6)," ")</f>
        <v>63327.047774802122</v>
      </c>
      <c r="AD14" s="20">
        <f>IF(A14&lt;('2. Inputs and results'!$B$21+1),AC14/L14,NA())</f>
        <v>0.40490439753709795</v>
      </c>
      <c r="AE14">
        <f>IF(A14&lt;('2. Inputs and results'!$B$21+1),-'2. Inputs and results'!$B$121*A14," ")</f>
        <v>-183600</v>
      </c>
      <c r="AF14">
        <f>IF(A14&lt;('2. Inputs and results'!$B$21+1),AE14/1000,NA())</f>
        <v>-183.6</v>
      </c>
    </row>
    <row r="15" spans="1:32" x14ac:dyDescent="0.25">
      <c r="A15">
        <f t="shared" si="0"/>
        <v>10</v>
      </c>
      <c r="B15">
        <f>IF(A15&lt;('2. Inputs and results'!$B$21+1),A15," ")</f>
        <v>10</v>
      </c>
      <c r="C15" s="4">
        <f>IF(A15&lt;('2. Inputs and results'!$B$21+1),'2. Inputs and results'!$B$99+'2. Inputs and results'!$B$101," ")</f>
        <v>11460</v>
      </c>
      <c r="D15" s="4">
        <f>IF(A15&lt;('2. Inputs and results'!$B$21+1),D14+C15,NA())</f>
        <v>114600</v>
      </c>
      <c r="E15" s="4">
        <f>IF(B15&lt;('2. Inputs and results'!$B$21+1),C15/((1+$P$2)^A15)," ")</f>
        <v>7741.9653747436514</v>
      </c>
      <c r="F15" s="4">
        <f>IF(A15&lt;('2. Inputs and results'!$B$21+1),F14+E15," ")</f>
        <v>92950.865631408597</v>
      </c>
      <c r="G15" s="4">
        <f>IF(A15&lt;('2. Inputs and results'!$B$21+1),G14*(1+'2. Inputs and results'!$B$46)," ")</f>
        <v>19766.903820331499</v>
      </c>
      <c r="H15" s="4">
        <f>IF(A15&lt;('2. Inputs and results'!$B$21+1),H14*(1+'2. Inputs and results'!$B$58)," ")</f>
        <v>0</v>
      </c>
      <c r="I15" s="4">
        <f>IF(A15&lt;('2. Inputs and results'!$B$21+1),I14*(1+'2. Inputs and results'!$B$34)," ")</f>
        <v>-405.4749501606463</v>
      </c>
      <c r="J15" s="4">
        <f>IF(A15&lt;('2. Inputs and results'!$B$21+1),J14*(1+'2. Inputs and results'!$B$68)," ")</f>
        <v>0</v>
      </c>
      <c r="K15" s="4">
        <f>IF('Solution 1, (hidden) (2)'!A15&lt;('2. Inputs and results'!$B$21+1),K14+(G15+I15+H15+J15),NA())</f>
        <v>151051.91003968503</v>
      </c>
      <c r="L15" s="4">
        <f>IF(A15&lt;('2. Inputs and results'!$B$21+1),L14,NA())</f>
        <v>156400</v>
      </c>
      <c r="M15" s="4">
        <f>IF(A15&lt;('2. Inputs and results'!$B$21+1),'2. Inputs and results'!$B$75*'2. Inputs and results'!$B$73," ")</f>
        <v>1840</v>
      </c>
      <c r="N15" s="4">
        <f>IF(A15&lt;('2. Inputs and results'!$B$21+1),M15/((1+$P$2)^A15)," ")</f>
        <v>1243.0380706394694</v>
      </c>
      <c r="O15" s="4">
        <f>IF(A15&lt;('2. Inputs and results'!$B$21+1),'2. Inputs and results'!$B$73*'2. Inputs and results'!$B$75+O14," ")</f>
        <v>172960</v>
      </c>
      <c r="P15" s="4">
        <f>IF(A15&lt;('2. Inputs and results'!$B$21+1),(G15+I15+H15+J15)/((1+$P$2)^A15)," ")</f>
        <v>13079.887601956792</v>
      </c>
      <c r="Q15" s="4">
        <f>IF(A15&lt;('2. Inputs and results'!$B$21+1),Q14+P15," ")</f>
        <v>120234.04290371023</v>
      </c>
      <c r="R15" s="4">
        <f>IF(A15&lt;('2. Inputs and results'!$B$21+1),R14+G15+I15+H15+J15+T15-$V$6,NA())</f>
        <v>-46962.250195668028</v>
      </c>
      <c r="S15" s="4">
        <f>IF(A15&lt;('2. Inputs and results'!$B$21+1),'2. Inputs and results'!$B$79*(R14)," ")</f>
        <v>-1264.3858640360565</v>
      </c>
      <c r="T15" s="4">
        <f t="shared" si="1"/>
        <v>-1264.3858640360565</v>
      </c>
      <c r="U15" s="4">
        <f>IF(A15&lt;('2. Inputs and results'!$B$21+1),U14+(T15+I15+G15+H15+J15-$V$6)/((1+$P$2)^A15),NA())</f>
        <v>-70453.997140980355</v>
      </c>
      <c r="V15" s="4">
        <f>IF(A15&lt;('2. Inputs and results'!$B$21+1),V14+('2. Inputs and results'!$B$75*'2. Inputs and results'!$B$73)," ")</f>
        <v>18400</v>
      </c>
      <c r="W15" s="4">
        <f>IF(A15&lt;('2. Inputs and results'!$B$21+1),W14+C15+Y15-$V$6,NA())</f>
        <v>-85314.411269701843</v>
      </c>
      <c r="X15" s="4">
        <f>IF(A15&lt;('2. Inputs and results'!$B$21+1),'2. Inputs and results'!$B$79*W14," ")</f>
        <v>-1861.4590445039576</v>
      </c>
      <c r="Y15" s="4">
        <f t="shared" si="2"/>
        <v>-1861.4590445039576</v>
      </c>
      <c r="Z15" s="4">
        <f>IF(A15&lt;('2. Inputs and results'!$B$21+1),Z14+(C15-$V$6+Y15)/((1+$P$2)^A15),NA())</f>
        <v>-99111.005866930762</v>
      </c>
      <c r="AA15" s="4">
        <f>IF(A15&lt;('2. Inputs and results'!$B$21+1),AA14+(G15+I15+H15+T15-$V$6)," ")</f>
        <v>109437.74980433201</v>
      </c>
      <c r="AB15" s="20">
        <f>IF(A15&lt;('2. Inputs and results'!$B$21+1),AA15/L15,NA())</f>
        <v>0.69972985808396426</v>
      </c>
      <c r="AC15" s="29">
        <f>IF(A15&lt;('2. Inputs and results'!$B$21+1),AC14+(C15+Y15-$V$6)," ")</f>
        <v>71085.588730298157</v>
      </c>
      <c r="AD15" s="20">
        <f>IF(A15&lt;('2. Inputs and results'!$B$21+1),AC15/L15,NA())</f>
        <v>0.45451143689448947</v>
      </c>
      <c r="AE15">
        <f>IF(A15&lt;('2. Inputs and results'!$B$21+1),-'2. Inputs and results'!$B$121*A15," ")</f>
        <v>-204000</v>
      </c>
      <c r="AF15">
        <f>IF(A15&lt;('2. Inputs and results'!$B$21+1),AE15/1000,NA())</f>
        <v>-204</v>
      </c>
    </row>
    <row r="16" spans="1:32" x14ac:dyDescent="0.25">
      <c r="A16">
        <f t="shared" si="0"/>
        <v>11</v>
      </c>
      <c r="B16">
        <f>IF(A16&lt;('2. Inputs and results'!$B$21+1),A16," ")</f>
        <v>11</v>
      </c>
      <c r="C16" s="4">
        <f>IF(A16&lt;('2. Inputs and results'!$B$21+1),'2. Inputs and results'!$B$99+'2. Inputs and results'!$B$101," ")</f>
        <v>11460</v>
      </c>
      <c r="D16" s="4">
        <f>IF(A16&lt;('2. Inputs and results'!$B$21+1),D15+C16,NA())</f>
        <v>126060</v>
      </c>
      <c r="E16" s="4">
        <f>IF(B16&lt;('2. Inputs and results'!$B$21+1),C16/((1+$P$2)^A16)," ")</f>
        <v>7444.1974757150501</v>
      </c>
      <c r="F16" s="4">
        <f>IF(A16&lt;('2. Inputs and results'!$B$21+1),F15+E16," ")</f>
        <v>100395.06310712364</v>
      </c>
      <c r="G16" s="4">
        <f>IF(A16&lt;('2. Inputs and results'!$B$21+1),G15*(1+'2. Inputs and results'!$B$46)," ")</f>
        <v>20952.91804955139</v>
      </c>
      <c r="H16" s="4">
        <f>IF(A16&lt;('2. Inputs and results'!$B$21+1),H15*(1+'2. Inputs and results'!$B$58)," ")</f>
        <v>0</v>
      </c>
      <c r="I16" s="4">
        <f>IF(A16&lt;('2. Inputs and results'!$B$21+1),I15*(1+'2. Inputs and results'!$B$34)," ")</f>
        <v>-429.8034471702851</v>
      </c>
      <c r="J16" s="4">
        <f>IF(A16&lt;('2. Inputs and results'!$B$21+1),J15*(1+'2. Inputs and results'!$B$68)," ")</f>
        <v>0</v>
      </c>
      <c r="K16" s="4">
        <f>IF('Solution 1, (hidden) (2)'!A16&lt;('2. Inputs and results'!$B$21+1),K15+(G16+I16+H16+J16),NA())</f>
        <v>171575.02464206613</v>
      </c>
      <c r="L16" s="4">
        <f>IF(A16&lt;('2. Inputs and results'!$B$21+1),L15,NA())</f>
        <v>156400</v>
      </c>
      <c r="M16" s="4">
        <f>IF(A16&lt;('2. Inputs and results'!$B$21+1),'2. Inputs and results'!$B$75*'2. Inputs and results'!$B$73," ")</f>
        <v>1840</v>
      </c>
      <c r="N16" s="4">
        <f>IF(A16&lt;('2. Inputs and results'!$B$21+1),M16/((1+$P$2)^A16)," ")</f>
        <v>1195.2289140764128</v>
      </c>
      <c r="O16" s="4">
        <f>IF(A16&lt;('2. Inputs and results'!$B$21+1),'2. Inputs and results'!$B$73*'2. Inputs and results'!$B$75+O15," ")</f>
        <v>174800</v>
      </c>
      <c r="P16" s="4">
        <f>IF(A16&lt;('2. Inputs and results'!$B$21+1),(G16+I16+H16+J16)/((1+$P$2)^A16)," ")</f>
        <v>13331.423901994425</v>
      </c>
      <c r="Q16" s="4">
        <f>IF(A16&lt;('2. Inputs and results'!$B$21+1),Q15+P16," ")</f>
        <v>133565.46680570467</v>
      </c>
      <c r="R16" s="4">
        <f>IF(A16&lt;('2. Inputs and results'!$B$21+1),R15+G16+I16+H16+J16+T16-$V$6,NA())</f>
        <v>-29218.380597200285</v>
      </c>
      <c r="S16" s="4">
        <f>IF(A16&lt;('2. Inputs and results'!$B$21+1),'2. Inputs and results'!$B$79*(R15)," ")</f>
        <v>-939.24500391336062</v>
      </c>
      <c r="T16" s="4">
        <f t="shared" si="1"/>
        <v>-939.24500391336062</v>
      </c>
      <c r="U16" s="4">
        <f>IF(A16&lt;('2. Inputs and results'!$B$21+1),U15+(T16+I16+G16+H16+J16-$V$6)/((1+$P$2)^A16),NA())</f>
        <v>-58927.917797670532</v>
      </c>
      <c r="V16" s="4">
        <f>IF(A16&lt;('2. Inputs and results'!$B$21+1),V15+('2. Inputs and results'!$B$75*'2. Inputs and results'!$B$73)," ")</f>
        <v>20240</v>
      </c>
      <c r="W16" s="4">
        <f>IF(A16&lt;('2. Inputs and results'!$B$21+1),W15+C16+Y16-$V$6,NA())</f>
        <v>-77400.699495095876</v>
      </c>
      <c r="X16" s="4">
        <f>IF(A16&lt;('2. Inputs and results'!$B$21+1),'2. Inputs and results'!$B$79*W15," ")</f>
        <v>-1706.288225394037</v>
      </c>
      <c r="Y16" s="4">
        <f t="shared" si="2"/>
        <v>-1706.288225394037</v>
      </c>
      <c r="Z16" s="4">
        <f>IF(A16&lt;('2. Inputs and results'!$B$21+1),Z15+(C16-$V$6+Y16)/((1+$P$2)^A16),NA())</f>
        <v>-93970.409600259023</v>
      </c>
      <c r="AA16" s="4">
        <f>IF(A16&lt;('2. Inputs and results'!$B$21+1),AA15+(G16+I16+H16+T16-$V$6)," ")</f>
        <v>127181.61940279976</v>
      </c>
      <c r="AB16" s="20">
        <f>IF(A16&lt;('2. Inputs and results'!$B$21+1),AA16/L16,NA())</f>
        <v>0.81318170973657133</v>
      </c>
      <c r="AC16" s="29">
        <f>IF(A16&lt;('2. Inputs and results'!$B$21+1),AC15+(C16+Y16-$V$6)," ")</f>
        <v>78999.300504904124</v>
      </c>
      <c r="AD16" s="20">
        <f>IF(A16&lt;('2. Inputs and results'!$B$21+1),AC16/L16,NA())</f>
        <v>0.50511061703902893</v>
      </c>
      <c r="AE16">
        <f>IF(A16&lt;('2. Inputs and results'!$B$21+1),-'2. Inputs and results'!$B$121*A16," ")</f>
        <v>-224400</v>
      </c>
      <c r="AF16">
        <f>IF(A16&lt;('2. Inputs and results'!$B$21+1),AE16/1000,NA())</f>
        <v>-224.4</v>
      </c>
    </row>
    <row r="17" spans="1:32" x14ac:dyDescent="0.25">
      <c r="A17">
        <f t="shared" si="0"/>
        <v>12</v>
      </c>
      <c r="B17">
        <f>IF(A17&lt;('2. Inputs and results'!$B$21+1),A17," ")</f>
        <v>12</v>
      </c>
      <c r="C17" s="4">
        <f>IF(A17&lt;('2. Inputs and results'!$B$21+1),'2. Inputs and results'!$B$99+'2. Inputs and results'!$B$101," ")</f>
        <v>11460</v>
      </c>
      <c r="D17" s="4">
        <f>IF(A17&lt;('2. Inputs and results'!$B$21+1),D16+C17,NA())</f>
        <v>137520</v>
      </c>
      <c r="E17" s="4">
        <f>IF(B17&lt;('2. Inputs and results'!$B$21+1),C17/((1+$P$2)^A17)," ")</f>
        <v>7157.8821881875465</v>
      </c>
      <c r="F17" s="4">
        <f>IF(A17&lt;('2. Inputs and results'!$B$21+1),F16+E17," ")</f>
        <v>107552.94529531119</v>
      </c>
      <c r="G17" s="4">
        <f>IF(A17&lt;('2. Inputs and results'!$B$21+1),G16*(1+'2. Inputs and results'!$B$46)," ")</f>
        <v>22210.093132524475</v>
      </c>
      <c r="H17" s="4">
        <f>IF(A17&lt;('2. Inputs and results'!$B$21+1),H16*(1+'2. Inputs and results'!$B$58)," ")</f>
        <v>0</v>
      </c>
      <c r="I17" s="4">
        <f>IF(A17&lt;('2. Inputs and results'!$B$21+1),I16*(1+'2. Inputs and results'!$B$34)," ")</f>
        <v>-455.59165400050222</v>
      </c>
      <c r="J17" s="4">
        <f>IF(A17&lt;('2. Inputs and results'!$B$21+1),J16*(1+'2. Inputs and results'!$B$68)," ")</f>
        <v>0</v>
      </c>
      <c r="K17" s="4">
        <f>IF('Solution 1, (hidden) (2)'!A17&lt;('2. Inputs and results'!$B$21+1),K16+(G17+I17+H17+J17),NA())</f>
        <v>193329.5261205901</v>
      </c>
      <c r="L17" s="4">
        <f>IF(A17&lt;('2. Inputs and results'!$B$21+1),L16,NA())</f>
        <v>156400</v>
      </c>
      <c r="M17" s="4">
        <f>IF(A17&lt;('2. Inputs and results'!$B$21+1),'2. Inputs and results'!$B$75*'2. Inputs and results'!$B$73," ")</f>
        <v>1840</v>
      </c>
      <c r="N17" s="4">
        <f>IF(A17&lt;('2. Inputs and results'!$B$21+1),M17/((1+$P$2)^A17)," ")</f>
        <v>1149.2585712273199</v>
      </c>
      <c r="O17" s="4">
        <f>IF(A17&lt;('2. Inputs and results'!$B$21+1),'2. Inputs and results'!$B$73*'2. Inputs and results'!$B$75+O16," ")</f>
        <v>176640</v>
      </c>
      <c r="P17" s="4">
        <f>IF(A17&lt;('2. Inputs and results'!$B$21+1),(G17+I17+H17+J17)/((1+$P$2)^A17)," ")</f>
        <v>13587.797438571239</v>
      </c>
      <c r="Q17" s="4">
        <f>IF(A17&lt;('2. Inputs and results'!$B$21+1),Q16+P17," ")</f>
        <v>147153.2642442759</v>
      </c>
      <c r="R17" s="4">
        <f>IF(A17&lt;('2. Inputs and results'!$B$21+1),R16+G17+I17+H17+J17+T17-$V$6,NA())</f>
        <v>-9888.246730620318</v>
      </c>
      <c r="S17" s="4">
        <f>IF(A17&lt;('2. Inputs and results'!$B$21+1),'2. Inputs and results'!$B$79*(R16)," ")</f>
        <v>-584.36761194400572</v>
      </c>
      <c r="T17" s="4">
        <f t="shared" si="1"/>
        <v>-584.36761194400572</v>
      </c>
      <c r="U17" s="4">
        <f>IF(A17&lt;('2. Inputs and results'!$B$21+1),U16+(T17+I17+G17+H17+J17-$V$6)/((1+$P$2)^A17),NA())</f>
        <v>-46854.373216616987</v>
      </c>
      <c r="V17" s="4">
        <f>IF(A17&lt;('2. Inputs and results'!$B$21+1),V16+('2. Inputs and results'!$B$75*'2. Inputs and results'!$B$73)," ")</f>
        <v>22080</v>
      </c>
      <c r="W17" s="4">
        <f>IF(A17&lt;('2. Inputs and results'!$B$21+1),W16+C17+Y17-$V$6,NA())</f>
        <v>-69328.713484997788</v>
      </c>
      <c r="X17" s="4">
        <f>IF(A17&lt;('2. Inputs and results'!$B$21+1),'2. Inputs and results'!$B$79*W16," ")</f>
        <v>-1548.0139899019175</v>
      </c>
      <c r="Y17" s="4">
        <f t="shared" si="2"/>
        <v>-1548.0139899019175</v>
      </c>
      <c r="Z17" s="4">
        <f>IF(A17&lt;('2. Inputs and results'!$B$21+1),Z16+(C17-$V$6+Y17)/((1+$P$2)^A17),NA())</f>
        <v>-88928.670954100206</v>
      </c>
      <c r="AA17" s="4">
        <f>IF(A17&lt;('2. Inputs and results'!$B$21+1),AA16+(G17+I17+H17+T17-$V$6)," ")</f>
        <v>146511.75326937973</v>
      </c>
      <c r="AB17" s="20">
        <f>IF(A17&lt;('2. Inputs and results'!$B$21+1),AA17/L17,NA())</f>
        <v>0.9367759160446274</v>
      </c>
      <c r="AC17" s="29">
        <f>IF(A17&lt;('2. Inputs and results'!$B$21+1),AC16+(C17+Y17-$V$6)," ")</f>
        <v>87071.286515002212</v>
      </c>
      <c r="AD17" s="20">
        <f>IF(A17&lt;('2. Inputs and results'!$B$21+1),AC17/L17,NA())</f>
        <v>0.55672178078645917</v>
      </c>
      <c r="AE17">
        <f>IF(A17&lt;('2. Inputs and results'!$B$21+1),-'2. Inputs and results'!$B$121*A17," ")</f>
        <v>-244800</v>
      </c>
      <c r="AF17">
        <f>IF(A17&lt;('2. Inputs and results'!$B$21+1),AE17/1000,NA())</f>
        <v>-244.8</v>
      </c>
    </row>
    <row r="18" spans="1:32" x14ac:dyDescent="0.25">
      <c r="A18">
        <f t="shared" si="0"/>
        <v>13</v>
      </c>
      <c r="B18">
        <f>IF(A18&lt;('2. Inputs and results'!$B$21+1),A18," ")</f>
        <v>13</v>
      </c>
      <c r="C18" s="4">
        <f>IF(A18&lt;('2. Inputs and results'!$B$21+1),'2. Inputs and results'!$B$99+'2. Inputs and results'!$B$101," ")</f>
        <v>11460</v>
      </c>
      <c r="D18" s="4">
        <f>IF(A18&lt;('2. Inputs and results'!$B$21+1),D17+C18,NA())</f>
        <v>148980</v>
      </c>
      <c r="E18" s="4">
        <f>IF(B18&lt;('2. Inputs and results'!$B$21+1),C18/((1+$P$2)^A18)," ")</f>
        <v>6882.5790271034102</v>
      </c>
      <c r="F18" s="4">
        <f>IF(A18&lt;('2. Inputs and results'!$B$21+1),F17+E18," ")</f>
        <v>114435.5243224146</v>
      </c>
      <c r="G18" s="4">
        <f>IF(A18&lt;('2. Inputs and results'!$B$21+1),G17*(1+'2. Inputs and results'!$B$46)," ")</f>
        <v>23542.698720475943</v>
      </c>
      <c r="H18" s="4">
        <f>IF(A18&lt;('2. Inputs and results'!$B$21+1),H17*(1+'2. Inputs and results'!$B$58)," ")</f>
        <v>0</v>
      </c>
      <c r="I18" s="4">
        <f>IF(A18&lt;('2. Inputs and results'!$B$21+1),I17*(1+'2. Inputs and results'!$B$34)," ")</f>
        <v>-482.92715324053239</v>
      </c>
      <c r="J18" s="4">
        <f>IF(A18&lt;('2. Inputs and results'!$B$21+1),J17*(1+'2. Inputs and results'!$B$68)," ")</f>
        <v>0</v>
      </c>
      <c r="K18" s="4">
        <f>IF('Solution 1, (hidden) (2)'!A18&lt;('2. Inputs and results'!$B$21+1),K17+(G18+I18+H18+J18),NA())</f>
        <v>216389.29768782551</v>
      </c>
      <c r="L18" s="4">
        <f>IF(A18&lt;('2. Inputs and results'!$B$21+1),L17,NA())</f>
        <v>156400</v>
      </c>
      <c r="M18" s="4">
        <f>IF(A18&lt;('2. Inputs and results'!$B$21+1),'2. Inputs and results'!$B$75*'2. Inputs and results'!$B$73," ")</f>
        <v>1840</v>
      </c>
      <c r="N18" s="4">
        <f>IF(A18&lt;('2. Inputs and results'!$B$21+1),M18/((1+$P$2)^A18)," ")</f>
        <v>1105.0563184878076</v>
      </c>
      <c r="O18" s="4">
        <f>IF(A18&lt;('2. Inputs and results'!$B$21+1),'2. Inputs and results'!$B$73*'2. Inputs and results'!$B$75+O17," ")</f>
        <v>178480</v>
      </c>
      <c r="P18" s="4">
        <f>IF(A18&lt;('2. Inputs and results'!$B$21+1),(G18+I18+H18+J18)/((1+$P$2)^A18)," ")</f>
        <v>13849.101235466838</v>
      </c>
      <c r="Q18" s="4">
        <f>IF(A18&lt;('2. Inputs and results'!$B$21+1),Q17+P18," ")</f>
        <v>161002.36547974273</v>
      </c>
      <c r="R18" s="4">
        <f>IF(A18&lt;('2. Inputs and results'!$B$21+1),R17+G18+I18+H18+J18+T18-$V$6,NA())</f>
        <v>11133.759902002685</v>
      </c>
      <c r="S18" s="4">
        <f>IF(A18&lt;('2. Inputs and results'!$B$21+1),'2. Inputs and results'!$B$79*(R17)," ")</f>
        <v>-197.76493461240636</v>
      </c>
      <c r="T18" s="4">
        <f t="shared" si="1"/>
        <v>-197.76493461240636</v>
      </c>
      <c r="U18" s="4">
        <f>IF(A18&lt;('2. Inputs and results'!$B$21+1),U17+(T18+I18+G18+H18+J18-$V$6)/((1+$P$2)^A18),NA())</f>
        <v>-34229.100794512284</v>
      </c>
      <c r="V18" s="4">
        <f>IF(A18&lt;('2. Inputs and results'!$B$21+1),V17+('2. Inputs and results'!$B$75*'2. Inputs and results'!$B$73)," ")</f>
        <v>23920</v>
      </c>
      <c r="W18" s="4">
        <f>IF(A18&lt;('2. Inputs and results'!$B$21+1),W17+C18+Y18-$V$6,NA())</f>
        <v>-61095.287754697747</v>
      </c>
      <c r="X18" s="4">
        <f>IF(A18&lt;('2. Inputs and results'!$B$21+1),'2. Inputs and results'!$B$79*W17," ")</f>
        <v>-1386.5742696999557</v>
      </c>
      <c r="Y18" s="4">
        <f t="shared" si="2"/>
        <v>-1386.5742696999557</v>
      </c>
      <c r="Z18" s="4">
        <f>IF(A18&lt;('2. Inputs and results'!$B$21+1),Z17+(C18-$V$6+Y18)/((1+$P$2)^A18),NA())</f>
        <v>-83983.888820367516</v>
      </c>
      <c r="AA18" s="4">
        <f>IF(A18&lt;('2. Inputs and results'!$B$21+1),AA17+(G18+I18+H18+T18-$V$6)," ")</f>
        <v>167533.75990200273</v>
      </c>
      <c r="AB18" s="20">
        <f>IF(A18&lt;('2. Inputs and results'!$B$21+1),AA18/L18,NA())</f>
        <v>1.0711877231585851</v>
      </c>
      <c r="AC18" s="29">
        <f>IF(A18&lt;('2. Inputs and results'!$B$21+1),AC17+(C18+Y18-$V$6)," ")</f>
        <v>95304.71224530226</v>
      </c>
      <c r="AD18" s="20">
        <f>IF(A18&lt;('2. Inputs and results'!$B$21+1),AC18/L18,NA())</f>
        <v>0.60936516780883798</v>
      </c>
      <c r="AE18">
        <f>IF(A18&lt;('2. Inputs and results'!$B$21+1),-'2. Inputs and results'!$B$121*A18," ")</f>
        <v>-265200</v>
      </c>
      <c r="AF18">
        <f>IF(A18&lt;('2. Inputs and results'!$B$21+1),AE18/1000,NA())</f>
        <v>-265.2</v>
      </c>
    </row>
    <row r="19" spans="1:32" x14ac:dyDescent="0.25">
      <c r="A19">
        <f t="shared" si="0"/>
        <v>14</v>
      </c>
      <c r="B19">
        <f>IF(A19&lt;('2. Inputs and results'!$B$21+1),A19," ")</f>
        <v>14</v>
      </c>
      <c r="C19" s="4">
        <f>IF(A19&lt;('2. Inputs and results'!$B$21+1),'2. Inputs and results'!$B$99+'2. Inputs and results'!$B$101," ")</f>
        <v>11460</v>
      </c>
      <c r="D19" s="4">
        <f>IF(A19&lt;('2. Inputs and results'!$B$21+1),D18+C19,NA())</f>
        <v>160440</v>
      </c>
      <c r="E19" s="4">
        <f>IF(B19&lt;('2. Inputs and results'!$B$21+1),C19/((1+$P$2)^A19)," ")</f>
        <v>6617.8644491378946</v>
      </c>
      <c r="F19" s="4">
        <f>IF(A19&lt;('2. Inputs and results'!$B$21+1),F18+E19," ")</f>
        <v>121053.38877155249</v>
      </c>
      <c r="G19" s="4">
        <f>IF(A19&lt;('2. Inputs and results'!$B$21+1),G18*(1+'2. Inputs and results'!$B$46)," ")</f>
        <v>24955.2606437045</v>
      </c>
      <c r="H19" s="4">
        <f>IF(A19&lt;('2. Inputs and results'!$B$21+1),H18*(1+'2. Inputs and results'!$B$58)," ")</f>
        <v>0</v>
      </c>
      <c r="I19" s="4">
        <f>IF(A19&lt;('2. Inputs and results'!$B$21+1),I18*(1+'2. Inputs and results'!$B$34)," ")</f>
        <v>-511.90278243496437</v>
      </c>
      <c r="J19" s="4">
        <f>IF(A19&lt;('2. Inputs and results'!$B$21+1),J18*(1+'2. Inputs and results'!$B$68)," ")</f>
        <v>0</v>
      </c>
      <c r="K19" s="4">
        <f>IF('Solution 1, (hidden) (2)'!A19&lt;('2. Inputs and results'!$B$21+1),K18+(G19+I19+H19+J19),NA())</f>
        <v>240832.65554909504</v>
      </c>
      <c r="L19" s="4">
        <f>IF(A19&lt;('2. Inputs and results'!$B$21+1),L18,NA())</f>
        <v>156400</v>
      </c>
      <c r="M19" s="4">
        <f>IF(A19&lt;('2. Inputs and results'!$B$21+1),'2. Inputs and results'!$B$75*'2. Inputs and results'!$B$73," ")</f>
        <v>1840</v>
      </c>
      <c r="N19" s="4">
        <f>IF(A19&lt;('2. Inputs and results'!$B$21+1),M19/((1+$P$2)^A19)," ")</f>
        <v>1062.5541523921227</v>
      </c>
      <c r="O19" s="4">
        <f>IF(A19&lt;('2. Inputs and results'!$B$21+1),'2. Inputs and results'!$B$73*'2. Inputs and results'!$B$75+O18," ")</f>
        <v>180320</v>
      </c>
      <c r="P19" s="4">
        <f>IF(A19&lt;('2. Inputs and results'!$B$21+1),(G19+I19+H19+J19)/((1+$P$2)^A19)," ")</f>
        <v>14115.430105379663</v>
      </c>
      <c r="Q19" s="4">
        <f>IF(A19&lt;('2. Inputs and results'!$B$21+1),Q18+P19," ")</f>
        <v>175117.7955851224</v>
      </c>
      <c r="R19" s="4">
        <f>IF(A19&lt;('2. Inputs and results'!$B$21+1),R18+G19+I19+H19+J19+T19-$V$6,NA())</f>
        <v>33737.117763272225</v>
      </c>
      <c r="S19" s="4">
        <f>IF(A19&lt;('2. Inputs and results'!$B$21+1),'2. Inputs and results'!$B$79*(R18)," ")</f>
        <v>222.67519804005369</v>
      </c>
      <c r="T19" s="4">
        <f t="shared" si="1"/>
        <v>0</v>
      </c>
      <c r="U19" s="4">
        <f>IF(A19&lt;('2. Inputs and results'!$B$21+1),U18+(T19+I19+G19+H19+J19-$V$6)/((1+$P$2)^A19),NA())</f>
        <v>-21176.224841524745</v>
      </c>
      <c r="V19" s="4">
        <f>IF(A19&lt;('2. Inputs and results'!$B$21+1),V18+('2. Inputs and results'!$B$75*'2. Inputs and results'!$B$73)," ")</f>
        <v>25760</v>
      </c>
      <c r="W19" s="4">
        <f>IF(A19&lt;('2. Inputs and results'!$B$21+1),W18+C19+Y19-$V$6,NA())</f>
        <v>-52697.193509791701</v>
      </c>
      <c r="X19" s="4">
        <f>IF(A19&lt;('2. Inputs and results'!$B$21+1),'2. Inputs and results'!$B$79*W18," ")</f>
        <v>-1221.9057550939549</v>
      </c>
      <c r="Y19" s="4">
        <f t="shared" si="2"/>
        <v>-1221.9057550939549</v>
      </c>
      <c r="Z19" s="4">
        <f>IF(A19&lt;('2. Inputs and results'!$B$21+1),Z18+(C19-$V$6+Y19)/((1+$P$2)^A19),NA())</f>
        <v>-79134.198650745064</v>
      </c>
      <c r="AA19" s="4">
        <f>IF(A19&lt;('2. Inputs and results'!$B$21+1),AA18+(G19+I19+H19+T19-$V$6)," ")</f>
        <v>190137.11776327225</v>
      </c>
      <c r="AB19" s="20">
        <f>IF(A19&lt;('2. Inputs and results'!$B$21+1),AA19/L19,NA())</f>
        <v>1.2157104716321756</v>
      </c>
      <c r="AC19" s="29">
        <f>IF(A19&lt;('2. Inputs and results'!$B$21+1),AC18+(C19+Y19-$V$6)," ")</f>
        <v>103702.80649020831</v>
      </c>
      <c r="AD19" s="20">
        <f>IF(A19&lt;('2. Inputs and results'!$B$21+1),AC19/L19,NA())</f>
        <v>0.66306142257166445</v>
      </c>
      <c r="AE19">
        <f>IF(A19&lt;('2. Inputs and results'!$B$21+1),-'2. Inputs and results'!$B$121*A19," ")</f>
        <v>-285600</v>
      </c>
      <c r="AF19">
        <f>IF(A19&lt;('2. Inputs and results'!$B$21+1),AE19/1000,NA())</f>
        <v>-285.60000000000002</v>
      </c>
    </row>
    <row r="20" spans="1:32" x14ac:dyDescent="0.25">
      <c r="A20">
        <f t="shared" si="0"/>
        <v>15</v>
      </c>
      <c r="B20">
        <f>IF(A20&lt;('2. Inputs and results'!$B$21+1),A20," ")</f>
        <v>15</v>
      </c>
      <c r="C20" s="4">
        <f>IF(A20&lt;('2. Inputs and results'!$B$21+1),'2. Inputs and results'!$B$99+'2. Inputs and results'!$B$101," ")</f>
        <v>11460</v>
      </c>
      <c r="D20" s="4">
        <f>IF(A20&lt;('2. Inputs and results'!$B$21+1),D19+C20,NA())</f>
        <v>171900</v>
      </c>
      <c r="E20" s="4">
        <f>IF(B20&lt;('2. Inputs and results'!$B$21+1),C20/((1+$P$2)^A20)," ")</f>
        <v>6363.331201094129</v>
      </c>
      <c r="F20" s="4">
        <f>IF(A20&lt;('2. Inputs and results'!$B$21+1),F19+E20," ")</f>
        <v>127416.71997264662</v>
      </c>
      <c r="G20" s="4">
        <f>IF(A20&lt;('2. Inputs and results'!$B$21+1),G19*(1+'2. Inputs and results'!$B$46)," ")</f>
        <v>26452.576282326772</v>
      </c>
      <c r="H20" s="4">
        <f>IF(A20&lt;('2. Inputs and results'!$B$21+1),H19*(1+'2. Inputs and results'!$B$58)," ")</f>
        <v>0</v>
      </c>
      <c r="I20" s="4">
        <f>IF(A20&lt;('2. Inputs and results'!$B$21+1),I19*(1+'2. Inputs and results'!$B$34)," ")</f>
        <v>-542.61694938106223</v>
      </c>
      <c r="J20" s="4">
        <f>IF(A20&lt;('2. Inputs and results'!$B$21+1),J19*(1+'2. Inputs and results'!$B$68)," ")</f>
        <v>0</v>
      </c>
      <c r="K20" s="4">
        <f>IF('Solution 1, (hidden) (2)'!A20&lt;('2. Inputs and results'!$B$21+1),K19+(G20+I20+H20+J20),NA())</f>
        <v>266742.61488204077</v>
      </c>
      <c r="L20" s="4">
        <f>IF(A20&lt;('2. Inputs and results'!$B$21+1),L19,NA())</f>
        <v>156400</v>
      </c>
      <c r="M20" s="4">
        <f>IF(A20&lt;('2. Inputs and results'!$B$21+1),'2. Inputs and results'!$B$75*'2. Inputs and results'!$B$73," ")</f>
        <v>1840</v>
      </c>
      <c r="N20" s="4">
        <f>IF(A20&lt;('2. Inputs and results'!$B$21+1),M20/((1+$P$2)^A20)," ")</f>
        <v>1021.6866849924256</v>
      </c>
      <c r="O20" s="4">
        <f>IF(A20&lt;('2. Inputs and results'!$B$21+1),'2. Inputs and results'!$B$73*'2. Inputs and results'!$B$75+O19," ")</f>
        <v>182160</v>
      </c>
      <c r="P20" s="4">
        <f>IF(A20&lt;('2. Inputs and results'!$B$21+1),(G20+I20+H20+J20)/((1+$P$2)^A20)," ")</f>
        <v>14386.880684329273</v>
      </c>
      <c r="Q20" s="4">
        <f>IF(A20&lt;('2. Inputs and results'!$B$21+1),Q19+P20," ")</f>
        <v>189504.67626945168</v>
      </c>
      <c r="R20" s="4">
        <f>IF(A20&lt;('2. Inputs and results'!$B$21+1),R19+G20+I20+H20+J20+T20-$V$6,NA())</f>
        <v>57807.077096217938</v>
      </c>
      <c r="S20" s="4">
        <f>IF(A20&lt;('2. Inputs and results'!$B$21+1),'2. Inputs and results'!$B$79*(R19)," ")</f>
        <v>674.74235526544453</v>
      </c>
      <c r="T20" s="4">
        <f t="shared" si="1"/>
        <v>0</v>
      </c>
      <c r="U20" s="4">
        <f>IF(A20&lt;('2. Inputs and results'!$B$21+1),U19+(T20+I20+G20+H20+J20-$V$6)/((1+$P$2)^A20),NA())</f>
        <v>-7811.0308421878981</v>
      </c>
      <c r="V20" s="4">
        <f>IF(A20&lt;('2. Inputs and results'!$B$21+1),V19+('2. Inputs and results'!$B$75*'2. Inputs and results'!$B$73)," ")</f>
        <v>27600</v>
      </c>
      <c r="W20" s="4">
        <f>IF(A20&lt;('2. Inputs and results'!$B$21+1),W19+C20+Y20-$V$6,NA())</f>
        <v>-44131.137379987536</v>
      </c>
      <c r="X20" s="4">
        <f>IF(A20&lt;('2. Inputs and results'!$B$21+1),'2. Inputs and results'!$B$79*W19," ")</f>
        <v>-1053.9438701958341</v>
      </c>
      <c r="Y20" s="4">
        <f t="shared" si="2"/>
        <v>-1053.9438701958341</v>
      </c>
      <c r="Z20" s="4">
        <f>IF(A20&lt;('2. Inputs and results'!$B$21+1),Z19+(C20-$V$6+Y20)/((1+$P$2)^A20),NA())</f>
        <v>-74377.77175361535</v>
      </c>
      <c r="AA20" s="4">
        <f>IF(A20&lt;('2. Inputs and results'!$B$21+1),AA19+(G20+I20+H20+T20-$V$6)," ")</f>
        <v>214207.07709621795</v>
      </c>
      <c r="AB20" s="20">
        <f>IF(A20&lt;('2. Inputs and results'!$B$21+1),AA20/L20,NA())</f>
        <v>1.3696104673671226</v>
      </c>
      <c r="AC20" s="29">
        <f>IF(A20&lt;('2. Inputs and results'!$B$21+1),AC19+(C20+Y20-$V$6)," ")</f>
        <v>112268.86262001249</v>
      </c>
      <c r="AD20" s="20">
        <f>IF(A20&lt;('2. Inputs and results'!$B$21+1),AC20/L20,NA())</f>
        <v>0.71783160242974731</v>
      </c>
      <c r="AE20">
        <f>IF(A20&lt;('2. Inputs and results'!$B$21+1),-'2. Inputs and results'!$B$121*A20," ")</f>
        <v>-306000</v>
      </c>
      <c r="AF20">
        <f>IF(A20&lt;('2. Inputs and results'!$B$21+1),AE20/1000,NA())</f>
        <v>-306</v>
      </c>
    </row>
    <row r="21" spans="1:32" x14ac:dyDescent="0.25">
      <c r="A21">
        <f t="shared" si="0"/>
        <v>16</v>
      </c>
      <c r="B21">
        <f>IF(A21&lt;('2. Inputs and results'!$B$21+1),A21," ")</f>
        <v>16</v>
      </c>
      <c r="C21" s="4">
        <f>IF(A21&lt;('2. Inputs and results'!$B$21+1),'2. Inputs and results'!$B$99+'2. Inputs and results'!$B$101," ")</f>
        <v>11460</v>
      </c>
      <c r="D21" s="4">
        <f>IF(A21&lt;('2. Inputs and results'!$B$21+1),D20+C21,NA())</f>
        <v>183360</v>
      </c>
      <c r="E21" s="4">
        <f>IF(B21&lt;('2. Inputs and results'!$B$21+1),C21/((1+$P$2)^A21)," ")</f>
        <v>6118.5876933597383</v>
      </c>
      <c r="F21" s="4">
        <f>IF(A21&lt;('2. Inputs and results'!$B$21+1),F20+E21," ")</f>
        <v>133535.30766600635</v>
      </c>
      <c r="G21" s="4">
        <f>IF(A21&lt;('2. Inputs and results'!$B$21+1),G20*(1+'2. Inputs and results'!$B$46)," ")</f>
        <v>28039.730859266379</v>
      </c>
      <c r="H21" s="4">
        <f>IF(A21&lt;('2. Inputs and results'!$B$21+1),H20*(1+'2. Inputs and results'!$B$58)," ")</f>
        <v>0</v>
      </c>
      <c r="I21" s="4">
        <f>IF(A21&lt;('2. Inputs and results'!$B$21+1),I20*(1+'2. Inputs and results'!$B$34)," ")</f>
        <v>-575.17396634392594</v>
      </c>
      <c r="J21" s="4">
        <f>IF(A21&lt;('2. Inputs and results'!$B$21+1),J20*(1+'2. Inputs and results'!$B$68)," ")</f>
        <v>0</v>
      </c>
      <c r="K21" s="4">
        <f>IF('Solution 1, (hidden) (2)'!A21&lt;('2. Inputs and results'!$B$21+1),K20+(G21+I21+H21+J21),NA())</f>
        <v>294207.17177496321</v>
      </c>
      <c r="L21" s="4">
        <f>IF(A21&lt;('2. Inputs and results'!$B$21+1),L20,NA())</f>
        <v>156400</v>
      </c>
      <c r="M21" s="4">
        <f>IF(A21&lt;('2. Inputs and results'!$B$21+1),'2. Inputs and results'!$B$75*'2. Inputs and results'!$B$73," ")</f>
        <v>1840</v>
      </c>
      <c r="N21" s="4">
        <f>IF(A21&lt;('2. Inputs and results'!$B$21+1),M21/((1+$P$2)^A21)," ")</f>
        <v>982.39104326194752</v>
      </c>
      <c r="O21" s="4">
        <f>IF(A21&lt;('2. Inputs and results'!$B$21+1),'2. Inputs and results'!$B$73*'2. Inputs and results'!$B$75+O20," ")</f>
        <v>184000</v>
      </c>
      <c r="P21" s="4">
        <f>IF(A21&lt;('2. Inputs and results'!$B$21+1),(G21+I21+H21+J21)/((1+$P$2)^A21)," ")</f>
        <v>14663.551466720219</v>
      </c>
      <c r="Q21" s="4">
        <f>IF(A21&lt;('2. Inputs and results'!$B$21+1),Q20+P21," ")</f>
        <v>204168.22773617189</v>
      </c>
      <c r="R21" s="4">
        <f>IF(A21&lt;('2. Inputs and results'!$B$21+1),R20+G21+I21+H21+J21+T21-$V$6,NA())</f>
        <v>83431.633989140391</v>
      </c>
      <c r="S21" s="4">
        <f>IF(A21&lt;('2. Inputs and results'!$B$21+1),'2. Inputs and results'!$B$79*(R20)," ")</f>
        <v>1156.1415419243588</v>
      </c>
      <c r="T21" s="4">
        <f t="shared" si="1"/>
        <v>0</v>
      </c>
      <c r="U21" s="4">
        <f>IF(A21&lt;('2. Inputs and results'!$B$21+1),U20+(T21+I21+G21+H21+J21-$V$6)/((1+$P$2)^A21),NA())</f>
        <v>5870.1295812703738</v>
      </c>
      <c r="V21" s="4">
        <f>IF(A21&lt;('2. Inputs and results'!$B$21+1),V20+('2. Inputs and results'!$B$75*'2. Inputs and results'!$B$73)," ")</f>
        <v>29440</v>
      </c>
      <c r="W21" s="4">
        <f>IF(A21&lt;('2. Inputs and results'!$B$21+1),W20+C21+Y21-$V$6,NA())</f>
        <v>-35393.760127587288</v>
      </c>
      <c r="X21" s="4">
        <f>IF(A21&lt;('2. Inputs and results'!$B$21+1),'2. Inputs and results'!$B$79*W20," ")</f>
        <v>-882.62274759975071</v>
      </c>
      <c r="Y21" s="4">
        <f t="shared" si="2"/>
        <v>-882.62274759975071</v>
      </c>
      <c r="Z21" s="4">
        <f>IF(A21&lt;('2. Inputs and results'!$B$21+1),Z20+(C21-$V$6+Y21)/((1+$P$2)^A21),NA())</f>
        <v>-69712.814604507366</v>
      </c>
      <c r="AA21" s="4">
        <f>IF(A21&lt;('2. Inputs and results'!$B$21+1),AA20+(G21+I21+H21+T21-$V$6)," ")</f>
        <v>239831.63398914039</v>
      </c>
      <c r="AB21" s="20">
        <f>IF(A21&lt;('2. Inputs and results'!$B$21+1),AA21/L21,NA())</f>
        <v>1.5334503451991073</v>
      </c>
      <c r="AC21" s="29">
        <f>IF(A21&lt;('2. Inputs and results'!$B$21+1),AC20+(C21+Y21-$V$6)," ")</f>
        <v>121006.23987241273</v>
      </c>
      <c r="AD21" s="20">
        <f>IF(A21&lt;('2. Inputs and results'!$B$21+1),AC21/L21,NA())</f>
        <v>0.77369718588499181</v>
      </c>
      <c r="AE21">
        <f>IF(A21&lt;('2. Inputs and results'!$B$21+1),-'2. Inputs and results'!$B$121*A21," ")</f>
        <v>-326400</v>
      </c>
      <c r="AF21">
        <f>IF(A21&lt;('2. Inputs and results'!$B$21+1),AE21/1000,NA())</f>
        <v>-326.39999999999998</v>
      </c>
    </row>
    <row r="22" spans="1:32" x14ac:dyDescent="0.25">
      <c r="A22">
        <f t="shared" si="0"/>
        <v>17</v>
      </c>
      <c r="B22">
        <f>IF(A22&lt;('2. Inputs and results'!$B$21+1),A22," ")</f>
        <v>17</v>
      </c>
      <c r="C22" s="4">
        <f>IF(A22&lt;('2. Inputs and results'!$B$21+1),'2. Inputs and results'!$B$99+'2. Inputs and results'!$B$101," ")</f>
        <v>11460</v>
      </c>
      <c r="D22" s="4">
        <f>IF(A22&lt;('2. Inputs and results'!$B$21+1),D21+C22,NA())</f>
        <v>194820</v>
      </c>
      <c r="E22" s="4">
        <f>IF(B22&lt;('2. Inputs and results'!$B$21+1),C22/((1+$P$2)^A22)," ")</f>
        <v>5883.2573974612869</v>
      </c>
      <c r="F22" s="4">
        <f>IF(A22&lt;('2. Inputs and results'!$B$21+1),F21+E22," ")</f>
        <v>139418.56506346763</v>
      </c>
      <c r="G22" s="4">
        <f>IF(A22&lt;('2. Inputs and results'!$B$21+1),G21*(1+'2. Inputs and results'!$B$46)," ")</f>
        <v>29722.114710822363</v>
      </c>
      <c r="H22" s="4">
        <f>IF(A22&lt;('2. Inputs and results'!$B$21+1),H21*(1+'2. Inputs and results'!$B$58)," ")</f>
        <v>0</v>
      </c>
      <c r="I22" s="4">
        <f>IF(A22&lt;('2. Inputs and results'!$B$21+1),I21*(1+'2. Inputs and results'!$B$34)," ")</f>
        <v>-609.68440432456157</v>
      </c>
      <c r="J22" s="4">
        <f>IF(A22&lt;('2. Inputs and results'!$B$21+1),J21*(1+'2. Inputs and results'!$B$68)," ")</f>
        <v>0</v>
      </c>
      <c r="K22" s="4">
        <f>IF('Solution 1, (hidden) (2)'!A22&lt;('2. Inputs and results'!$B$21+1),K21+(G22+I22+H22+J22),NA())</f>
        <v>323319.60208146099</v>
      </c>
      <c r="L22" s="4">
        <f>IF(A22&lt;('2. Inputs and results'!$B$21+1),L21,NA())</f>
        <v>156400</v>
      </c>
      <c r="M22" s="4">
        <f>IF(A22&lt;('2. Inputs and results'!$B$21+1),'2. Inputs and results'!$B$75*'2. Inputs and results'!$B$73," ")</f>
        <v>1840</v>
      </c>
      <c r="N22" s="4">
        <f>IF(A22&lt;('2. Inputs and results'!$B$21+1),M22/((1+$P$2)^A22)," ")</f>
        <v>944.60677236725724</v>
      </c>
      <c r="O22" s="4">
        <f>IF(A22&lt;('2. Inputs and results'!$B$21+1),'2. Inputs and results'!$B$73*'2. Inputs and results'!$B$75+O21," ")</f>
        <v>185840</v>
      </c>
      <c r="P22" s="4">
        <f>IF(A22&lt;('2. Inputs and results'!$B$21+1),(G22+I22+H22+J22)/((1+$P$2)^A22)," ")</f>
        <v>14945.542841080223</v>
      </c>
      <c r="Q22" s="4">
        <f>IF(A22&lt;('2. Inputs and results'!$B$21+1),Q21+P22," ")</f>
        <v>219113.77057725211</v>
      </c>
      <c r="R22" s="4">
        <f>IF(A22&lt;('2. Inputs and results'!$B$21+1),R21+G22+I22+H22+J22+T22-$V$6,NA())</f>
        <v>110704.06429563819</v>
      </c>
      <c r="S22" s="4">
        <f>IF(A22&lt;('2. Inputs and results'!$B$21+1),'2. Inputs and results'!$B$79*(R21)," ")</f>
        <v>1668.6326797828078</v>
      </c>
      <c r="T22" s="4">
        <f t="shared" si="1"/>
        <v>0</v>
      </c>
      <c r="U22" s="4">
        <f>IF(A22&lt;('2. Inputs and results'!$B$21+1),U21+(T22+I22+G22+H22+J22-$V$6)/((1+$P$2)^A22),NA())</f>
        <v>19871.065649983339</v>
      </c>
      <c r="V22" s="4">
        <f>IF(A22&lt;('2. Inputs and results'!$B$21+1),V21+('2. Inputs and results'!$B$75*'2. Inputs and results'!$B$73)," ")</f>
        <v>31280</v>
      </c>
      <c r="W22" s="4">
        <f>IF(A22&lt;('2. Inputs and results'!$B$21+1),W21+C22+Y22-$V$6,NA())</f>
        <v>-26481.635330139034</v>
      </c>
      <c r="X22" s="4">
        <f>IF(A22&lt;('2. Inputs and results'!$B$21+1),'2. Inputs and results'!$B$79*W21," ")</f>
        <v>-707.87520255174582</v>
      </c>
      <c r="Y22" s="4">
        <f t="shared" si="2"/>
        <v>-707.87520255174582</v>
      </c>
      <c r="Z22" s="4">
        <f>IF(A22&lt;('2. Inputs and results'!$B$21+1),Z21+(C22-$V$6+Y22)/((1+$P$2)^A22),NA())</f>
        <v>-65137.568169805309</v>
      </c>
      <c r="AA22" s="4">
        <f>IF(A22&lt;('2. Inputs and results'!$B$21+1),AA21+(G22+I22+H22+T22-$V$6)," ")</f>
        <v>267104.06429563818</v>
      </c>
      <c r="AB22" s="20">
        <f>IF(A22&lt;('2. Inputs and results'!$B$21+1),AA22/L22,NA())</f>
        <v>1.7078264980539526</v>
      </c>
      <c r="AC22" s="29">
        <f>IF(A22&lt;('2. Inputs and results'!$B$21+1),AC21+(C22+Y22-$V$6)," ")</f>
        <v>129918.36466986098</v>
      </c>
      <c r="AD22" s="20">
        <f>IF(A22&lt;('2. Inputs and results'!$B$21+1),AC22/L22,NA())</f>
        <v>0.83068008100934132</v>
      </c>
      <c r="AE22">
        <f>IF(A22&lt;('2. Inputs and results'!$B$21+1),-'2. Inputs and results'!$B$121*A22," ")</f>
        <v>-346800</v>
      </c>
      <c r="AF22">
        <f>IF(A22&lt;('2. Inputs and results'!$B$21+1),AE22/1000,NA())</f>
        <v>-346.8</v>
      </c>
    </row>
    <row r="23" spans="1:32" x14ac:dyDescent="0.25">
      <c r="A23">
        <f t="shared" si="0"/>
        <v>18</v>
      </c>
      <c r="B23">
        <f>IF(A23&lt;('2. Inputs and results'!$B$21+1),A23," ")</f>
        <v>18</v>
      </c>
      <c r="C23" s="4">
        <f>IF(A23&lt;('2. Inputs and results'!$B$21+1),'2. Inputs and results'!$B$99+'2. Inputs and results'!$B$101," ")</f>
        <v>11460</v>
      </c>
      <c r="D23" s="4">
        <f>IF(A23&lt;('2. Inputs and results'!$B$21+1),D22+C23,NA())</f>
        <v>206280</v>
      </c>
      <c r="E23" s="4">
        <f>IF(B23&lt;('2. Inputs and results'!$B$21+1),C23/((1+$P$2)^A23)," ")</f>
        <v>5656.978266789698</v>
      </c>
      <c r="F23" s="4">
        <f>IF(A23&lt;('2. Inputs and results'!$B$21+1),F22+E23," ")</f>
        <v>145075.54333025732</v>
      </c>
      <c r="G23" s="4">
        <f>IF(A23&lt;('2. Inputs and results'!$B$21+1),G22*(1+'2. Inputs and results'!$B$46)," ")</f>
        <v>31505.441593471707</v>
      </c>
      <c r="H23" s="4">
        <f>IF(A23&lt;('2. Inputs and results'!$B$21+1),H22*(1+'2. Inputs and results'!$B$58)," ")</f>
        <v>0</v>
      </c>
      <c r="I23" s="4">
        <f>IF(A23&lt;('2. Inputs and results'!$B$21+1),I22*(1+'2. Inputs and results'!$B$34)," ")</f>
        <v>-646.26546858403526</v>
      </c>
      <c r="J23" s="4">
        <f>IF(A23&lt;('2. Inputs and results'!$B$21+1),J22*(1+'2. Inputs and results'!$B$68)," ")</f>
        <v>0</v>
      </c>
      <c r="K23" s="4">
        <f>IF('Solution 1, (hidden) (2)'!A23&lt;('2. Inputs and results'!$B$21+1),K22+(G23+I23+H23+J23),NA())</f>
        <v>354178.77820634865</v>
      </c>
      <c r="L23" s="4">
        <f>IF(A23&lt;('2. Inputs and results'!$B$21+1),L22,NA())</f>
        <v>156400</v>
      </c>
      <c r="M23" s="4">
        <f>IF(A23&lt;('2. Inputs and results'!$B$21+1),'2. Inputs and results'!$B$75*'2. Inputs and results'!$B$73," ")</f>
        <v>1840</v>
      </c>
      <c r="N23" s="4">
        <f>IF(A23&lt;('2. Inputs and results'!$B$21+1),M23/((1+$P$2)^A23)," ")</f>
        <v>908.27574266082422</v>
      </c>
      <c r="O23" s="4">
        <f>IF(A23&lt;('2. Inputs and results'!$B$21+1),'2. Inputs and results'!$B$73*'2. Inputs and results'!$B$75+O22," ")</f>
        <v>187680</v>
      </c>
      <c r="P23" s="4">
        <f>IF(A23&lt;('2. Inputs and results'!$B$21+1),(G23+I23+H23+J23)/((1+$P$2)^A23)," ")</f>
        <v>15232.957126485611</v>
      </c>
      <c r="Q23" s="4">
        <f>IF(A23&lt;('2. Inputs and results'!$B$21+1),Q22+P23," ")</f>
        <v>234346.72770373774</v>
      </c>
      <c r="R23" s="4">
        <f>IF(A23&lt;('2. Inputs and results'!$B$21+1),R22+G23+I23+H23+J23+T23-$V$6,NA())</f>
        <v>139723.24042052586</v>
      </c>
      <c r="S23" s="4">
        <f>IF(A23&lt;('2. Inputs and results'!$B$21+1),'2. Inputs and results'!$B$79*(R22)," ")</f>
        <v>2214.0812859127641</v>
      </c>
      <c r="T23" s="4">
        <f t="shared" si="1"/>
        <v>0</v>
      </c>
      <c r="U23" s="4">
        <f>IF(A23&lt;('2. Inputs and results'!$B$21+1),U22+(T23+I23+G23+H23+J23-$V$6)/((1+$P$2)^A23),NA())</f>
        <v>34195.747033808126</v>
      </c>
      <c r="V23" s="4">
        <f>IF(A23&lt;('2. Inputs and results'!$B$21+1),V22+('2. Inputs and results'!$B$75*'2. Inputs and results'!$B$73)," ")</f>
        <v>33120</v>
      </c>
      <c r="W23" s="4">
        <f>IF(A23&lt;('2. Inputs and results'!$B$21+1),W22+C23+Y23-$V$6,NA())</f>
        <v>-17391.268036741814</v>
      </c>
      <c r="X23" s="4">
        <f>IF(A23&lt;('2. Inputs and results'!$B$21+1),'2. Inputs and results'!$B$79*W22," ")</f>
        <v>-529.63270660278067</v>
      </c>
      <c r="Y23" s="4">
        <f t="shared" si="2"/>
        <v>-529.63270660278067</v>
      </c>
      <c r="Z23" s="4">
        <f>IF(A23&lt;('2. Inputs and results'!$B$21+1),Z22+(C23-$V$6+Y23)/((1+$P$2)^A23),NA())</f>
        <v>-60650.307243462899</v>
      </c>
      <c r="AA23" s="4">
        <f>IF(A23&lt;('2. Inputs and results'!$B$21+1),AA22+(G23+I23+H23+T23-$V$6)," ")</f>
        <v>296123.24042052584</v>
      </c>
      <c r="AB23" s="20">
        <f>IF(A23&lt;('2. Inputs and results'!$B$21+1),AA23/L23,NA())</f>
        <v>1.8933711024330295</v>
      </c>
      <c r="AC23" s="29">
        <f>IF(A23&lt;('2. Inputs and results'!$B$21+1),AC22+(C23+Y23-$V$6)," ")</f>
        <v>139008.73196325821</v>
      </c>
      <c r="AD23" s="20">
        <f>IF(A23&lt;('2. Inputs and results'!$B$21+1),AC23/L23,NA())</f>
        <v>0.88880263403617776</v>
      </c>
      <c r="AE23">
        <f>IF(A23&lt;('2. Inputs and results'!$B$21+1),-'2. Inputs and results'!$B$121*A23," ")</f>
        <v>-367200</v>
      </c>
      <c r="AF23">
        <f>IF(A23&lt;('2. Inputs and results'!$B$21+1),AE23/1000,NA())</f>
        <v>-367.2</v>
      </c>
    </row>
    <row r="24" spans="1:32" x14ac:dyDescent="0.25">
      <c r="A24">
        <f t="shared" si="0"/>
        <v>19</v>
      </c>
      <c r="B24">
        <f>IF(A24&lt;('2. Inputs and results'!$B$21+1),A24," ")</f>
        <v>19</v>
      </c>
      <c r="C24" s="4">
        <f>IF(A24&lt;('2. Inputs and results'!$B$21+1),'2. Inputs and results'!$B$99+'2. Inputs and results'!$B$101," ")</f>
        <v>11460</v>
      </c>
      <c r="D24" s="4">
        <f>IF(A24&lt;('2. Inputs and results'!$B$21+1),D23+C24,NA())</f>
        <v>217740</v>
      </c>
      <c r="E24" s="4">
        <f>IF(B24&lt;('2. Inputs and results'!$B$21+1),C24/((1+$P$2)^A24)," ")</f>
        <v>5439.4021796054794</v>
      </c>
      <c r="F24" s="4">
        <f>IF(A24&lt;('2. Inputs and results'!$B$21+1),F23+E24," ")</f>
        <v>150514.9455098628</v>
      </c>
      <c r="G24" s="4">
        <f>IF(A24&lt;('2. Inputs and results'!$B$21+1),G23*(1+'2. Inputs and results'!$B$46)," ")</f>
        <v>33395.768089080011</v>
      </c>
      <c r="H24" s="4">
        <f>IF(A24&lt;('2. Inputs and results'!$B$21+1),H23*(1+'2. Inputs and results'!$B$58)," ")</f>
        <v>0</v>
      </c>
      <c r="I24" s="4">
        <f>IF(A24&lt;('2. Inputs and results'!$B$21+1),I23*(1+'2. Inputs and results'!$B$34)," ")</f>
        <v>-685.04139669907738</v>
      </c>
      <c r="J24" s="4">
        <f>IF(A24&lt;('2. Inputs and results'!$B$21+1),J23*(1+'2. Inputs and results'!$B$68)," ")</f>
        <v>0</v>
      </c>
      <c r="K24" s="4">
        <f>IF('Solution 1, (hidden) (2)'!A24&lt;('2. Inputs and results'!$B$21+1),K23+(G24+I24+H24+J24),NA())</f>
        <v>386889.50489872956</v>
      </c>
      <c r="L24" s="4">
        <f>IF(A24&lt;('2. Inputs and results'!$B$21+1),L23,NA())</f>
        <v>156400</v>
      </c>
      <c r="M24" s="4">
        <f>IF(A24&lt;('2. Inputs and results'!$B$21+1),'2. Inputs and results'!$B$75*'2. Inputs and results'!$B$73," ")</f>
        <v>1840</v>
      </c>
      <c r="N24" s="4">
        <f>IF(A24&lt;('2. Inputs and results'!$B$21+1),M24/((1+$P$2)^A24)," ")</f>
        <v>873.34206025079254</v>
      </c>
      <c r="O24" s="4">
        <f>IF(A24&lt;('2. Inputs and results'!$B$21+1),'2. Inputs and results'!$B$73*'2. Inputs and results'!$B$75+O23," ")</f>
        <v>189520</v>
      </c>
      <c r="P24" s="4">
        <f>IF(A24&lt;('2. Inputs and results'!$B$21+1),(G24+I24+H24+J24)/((1+$P$2)^A24)," ")</f>
        <v>15525.898609687258</v>
      </c>
      <c r="Q24" s="4">
        <f>IF(A24&lt;('2. Inputs and results'!$B$21+1),Q23+P24," ")</f>
        <v>249872.62631342499</v>
      </c>
      <c r="R24" s="4">
        <f>IF(A24&lt;('2. Inputs and results'!$B$21+1),R23+G24+I24+H24+J24+T24-$V$6,NA())</f>
        <v>170593.9671129068</v>
      </c>
      <c r="S24" s="4">
        <f>IF(A24&lt;('2. Inputs and results'!$B$21+1),'2. Inputs and results'!$B$79*(R23)," ")</f>
        <v>2794.4648084105174</v>
      </c>
      <c r="T24" s="4">
        <f t="shared" si="1"/>
        <v>0</v>
      </c>
      <c r="U24" s="4">
        <f>IF(A24&lt;('2. Inputs and results'!$B$21+1),U23+(T24+I24+G24+H24+J24-$V$6)/((1+$P$2)^A24),NA())</f>
        <v>48848.303583244589</v>
      </c>
      <c r="V24" s="4">
        <f>IF(A24&lt;('2. Inputs and results'!$B$21+1),V23+('2. Inputs and results'!$B$75*'2. Inputs and results'!$B$73)," ")</f>
        <v>34960</v>
      </c>
      <c r="W24" s="4">
        <f>IF(A24&lt;('2. Inputs and results'!$B$21+1),W23+C24+Y24-$V$6,NA())</f>
        <v>-8119.0933974766504</v>
      </c>
      <c r="X24" s="4">
        <f>IF(A24&lt;('2. Inputs and results'!$B$21+1),'2. Inputs and results'!$B$79*W23," ")</f>
        <v>-347.82536073483629</v>
      </c>
      <c r="Y24" s="4">
        <f t="shared" si="2"/>
        <v>-347.82536073483629</v>
      </c>
      <c r="Z24" s="4">
        <f>IF(A24&lt;('2. Inputs and results'!$B$21+1),Z23+(C24-$V$6+Y24)/((1+$P$2)^A24),NA())</f>
        <v>-56249.339796473228</v>
      </c>
      <c r="AA24" s="4">
        <f>IF(A24&lt;('2. Inputs and results'!$B$21+1),AA23+(G24+I24+H24+T24-$V$6)," ")</f>
        <v>326993.96711290674</v>
      </c>
      <c r="AB24" s="20">
        <f>IF(A24&lt;('2. Inputs and results'!$B$21+1),AA24/L24,NA())</f>
        <v>2.0907542654277926</v>
      </c>
      <c r="AC24" s="29">
        <f>IF(A24&lt;('2. Inputs and results'!$B$21+1),AC23+(C24+Y24-$V$6)," ")</f>
        <v>148280.90660252338</v>
      </c>
      <c r="AD24" s="20">
        <f>IF(A24&lt;('2. Inputs and results'!$B$21+1),AC24/L24,NA())</f>
        <v>0.94808763812355101</v>
      </c>
      <c r="AE24">
        <f>IF(A24&lt;('2. Inputs and results'!$B$21+1),-'2. Inputs and results'!$B$121*A24," ")</f>
        <v>-387600</v>
      </c>
      <c r="AF24">
        <f>IF(A24&lt;('2. Inputs and results'!$B$21+1),AE24/1000,NA())</f>
        <v>-387.6</v>
      </c>
    </row>
    <row r="25" spans="1:32" x14ac:dyDescent="0.25">
      <c r="A25">
        <f t="shared" si="0"/>
        <v>20</v>
      </c>
      <c r="B25">
        <f>IF(A25&lt;('2. Inputs and results'!$B$21+1),A25," ")</f>
        <v>20</v>
      </c>
      <c r="C25" s="4">
        <f>IF(A25&lt;('2. Inputs and results'!$B$21+1),'2. Inputs and results'!$B$99+'2. Inputs and results'!$B$101," ")</f>
        <v>11460</v>
      </c>
      <c r="D25" s="4">
        <f>IF(A25&lt;('2. Inputs and results'!$B$21+1),D24+C25,NA())</f>
        <v>229200</v>
      </c>
      <c r="E25" s="4">
        <f>IF(B25&lt;('2. Inputs and results'!$B$21+1),C25/((1+$P$2)^A25)," ")</f>
        <v>5230.1944034668068</v>
      </c>
      <c r="F25" s="4">
        <f>IF(A25&lt;('2. Inputs and results'!$B$21+1),F24+E25," ")</f>
        <v>155745.13991332959</v>
      </c>
      <c r="G25" s="4">
        <f>IF(A25&lt;('2. Inputs and results'!$B$21+1),G24*(1+'2. Inputs and results'!$B$46)," ")</f>
        <v>35399.51417442481</v>
      </c>
      <c r="H25" s="4">
        <f>IF(A25&lt;('2. Inputs and results'!$B$21+1),H24*(1+'2. Inputs and results'!$B$58)," ")</f>
        <v>0</v>
      </c>
      <c r="I25" s="4">
        <f>IF(A25&lt;('2. Inputs and results'!$B$21+1),I24*(1+'2. Inputs and results'!$B$34)," ")</f>
        <v>-726.14388050102207</v>
      </c>
      <c r="J25" s="4">
        <f>IF(A25&lt;('2. Inputs and results'!$B$21+1),J24*(1+'2. Inputs and results'!$B$68)," ")</f>
        <v>0</v>
      </c>
      <c r="K25" s="4">
        <f>IF('Solution 1, (hidden) (2)'!A25&lt;('2. Inputs and results'!$B$21+1),K24+(G25+I25+H25+J25),NA())</f>
        <v>421562.87519265333</v>
      </c>
      <c r="L25" s="4">
        <f>IF(A25&lt;('2. Inputs and results'!$B$21+1),L24,NA())</f>
        <v>156400</v>
      </c>
      <c r="M25" s="4">
        <f>IF(A25&lt;('2. Inputs and results'!$B$21+1),'2. Inputs and results'!$B$75*'2. Inputs and results'!$B$73," ")</f>
        <v>1840</v>
      </c>
      <c r="N25" s="4">
        <f>IF(A25&lt;('2. Inputs and results'!$B$21+1),M25/((1+$P$2)^A25)," ")</f>
        <v>839.75198101037745</v>
      </c>
      <c r="O25" s="4">
        <f>IF(A25&lt;('2. Inputs and results'!$B$21+1),'2. Inputs and results'!$B$73*'2. Inputs and results'!$B$75+O24," ")</f>
        <v>191360</v>
      </c>
      <c r="P25" s="4">
        <f>IF(A25&lt;('2. Inputs and results'!$B$21+1),(G25+I25+H25+J25)/((1+$P$2)^A25)," ")</f>
        <v>15824.473582950473</v>
      </c>
      <c r="Q25" s="4">
        <f>IF(A25&lt;('2. Inputs and results'!$B$21+1),Q24+P25," ")</f>
        <v>265697.09989637544</v>
      </c>
      <c r="R25" s="4">
        <f>IF(A25&lt;('2. Inputs and results'!$B$21+1),R24+G25+I25+H25+J25+T25-$V$6,NA())</f>
        <v>203427.3374068306</v>
      </c>
      <c r="S25" s="4">
        <f>IF(A25&lt;('2. Inputs and results'!$B$21+1),'2. Inputs and results'!$B$79*(R24)," ")</f>
        <v>3411.8793422581361</v>
      </c>
      <c r="T25" s="4">
        <f t="shared" si="1"/>
        <v>0</v>
      </c>
      <c r="U25" s="4">
        <f>IF(A25&lt;('2. Inputs and results'!$B$21+1),U24+(T25+I25+G25+H25+J25-$V$6)/((1+$P$2)^A25),NA())</f>
        <v>63833.025185184684</v>
      </c>
      <c r="V25" s="4">
        <f>IF(A25&lt;('2. Inputs and results'!$B$21+1),V24+('2. Inputs and results'!$B$75*'2. Inputs and results'!$B$73)," ")</f>
        <v>36800</v>
      </c>
      <c r="W25" s="4">
        <f>IF(A25&lt;('2. Inputs and results'!$B$21+1),W24+C25+Y25-$V$6,NA())</f>
        <v>1338.5247345738167</v>
      </c>
      <c r="X25" s="4">
        <f>IF(A25&lt;('2. Inputs and results'!$B$21+1),'2. Inputs and results'!$B$79*W24," ")</f>
        <v>-162.38186794953302</v>
      </c>
      <c r="Y25" s="4">
        <f t="shared" si="2"/>
        <v>-162.38186794953302</v>
      </c>
      <c r="Z25" s="4">
        <f>IF(A25&lt;('2. Inputs and results'!$B$21+1),Z24+(C25-$V$6+Y25)/((1+$P$2)^A25),NA())</f>
        <v>-51933.006338848747</v>
      </c>
      <c r="AA25" s="4">
        <f>IF(A25&lt;('2. Inputs and results'!$B$21+1),AA24+(G25+I25+H25+T25-$V$6)," ")</f>
        <v>359827.33740683051</v>
      </c>
      <c r="AB25" s="20">
        <f>IF(A25&lt;('2. Inputs and results'!$B$21+1),AA25/L25,NA())</f>
        <v>2.3006863005551823</v>
      </c>
      <c r="AC25" s="29">
        <f>IF(A25&lt;('2. Inputs and results'!$B$21+1),AC24+(C25+Y25-$V$6)," ")</f>
        <v>157738.52473457385</v>
      </c>
      <c r="AD25" s="20">
        <f>IF(A25&lt;('2. Inputs and results'!$B$21+1),AC25/L25,NA())</f>
        <v>1.0085583422926716</v>
      </c>
      <c r="AE25">
        <f>IF(A25&lt;('2. Inputs and results'!$B$21+1),-'2. Inputs and results'!$B$121*A25," ")</f>
        <v>-408000</v>
      </c>
      <c r="AF25">
        <f>IF(A25&lt;('2. Inputs and results'!$B$21+1),AE25/1000,NA())</f>
        <v>-408</v>
      </c>
    </row>
    <row r="26" spans="1:32" x14ac:dyDescent="0.25">
      <c r="A26">
        <f t="shared" si="0"/>
        <v>21</v>
      </c>
      <c r="B26" t="str">
        <f>IF(A26&lt;('2. Inputs and results'!$B$21+1),A26," ")</f>
        <v xml:space="preserve"> </v>
      </c>
      <c r="C26" s="4" t="str">
        <f>IF(A26&lt;('2. Inputs and results'!$B$21+1),'2. Inputs and results'!$B$99+'2. Inputs and results'!$B$101," ")</f>
        <v xml:space="preserve"> </v>
      </c>
      <c r="D26" s="4" t="e">
        <f>IF(A26&lt;('2. Inputs and results'!$B$21+1),D25+C26,NA())</f>
        <v>#N/A</v>
      </c>
      <c r="E26" s="4" t="str">
        <f>IF(B26&lt;('2. Inputs and results'!$B$21+1),C26/((1+$P$2)^A26)," ")</f>
        <v xml:space="preserve"> </v>
      </c>
      <c r="F26" s="4" t="str">
        <f>IF(A26&lt;('2. Inputs and results'!$B$21+1),F25+E26," ")</f>
        <v xml:space="preserve"> </v>
      </c>
      <c r="G26" s="4" t="str">
        <f>IF(A26&lt;('2. Inputs and results'!$B$21+1),G25*(1+'2. Inputs and results'!$B$46)," ")</f>
        <v xml:space="preserve"> </v>
      </c>
      <c r="H26" s="4" t="str">
        <f>IF(A26&lt;('2. Inputs and results'!$B$21+1),H25*(1+'2. Inputs and results'!$B$58)," ")</f>
        <v xml:space="preserve"> </v>
      </c>
      <c r="I26" s="4" t="str">
        <f>IF(A26&lt;('2. Inputs and results'!$B$21+1),I25*(1+'2. Inputs and results'!$B$34)," ")</f>
        <v xml:space="preserve"> </v>
      </c>
      <c r="J26" s="4" t="str">
        <f>IF(A26&lt;('2. Inputs and results'!$B$21+1),J25*(1+'2. Inputs and results'!$B$68)," ")</f>
        <v xml:space="preserve"> </v>
      </c>
      <c r="K26" s="4" t="e">
        <f>IF('Solution 1, (hidden) (2)'!A26&lt;('2. Inputs and results'!$B$21+1),K25+(G26+I26+H26+J26),NA())</f>
        <v>#N/A</v>
      </c>
      <c r="L26" s="4" t="e">
        <f>IF(A26&lt;('2. Inputs and results'!$B$21+1),L25,NA())</f>
        <v>#N/A</v>
      </c>
      <c r="M26" s="4" t="str">
        <f>IF(A26&lt;('2. Inputs and results'!$B$21+1),'2. Inputs and results'!$B$75*'2. Inputs and results'!$B$73," ")</f>
        <v xml:space="preserve"> </v>
      </c>
      <c r="N26" s="4" t="str">
        <f>IF(A26&lt;('2. Inputs and results'!$B$21+1),M26/((1+$P$2)^A26)," ")</f>
        <v xml:space="preserve"> </v>
      </c>
      <c r="O26" s="4" t="str">
        <f>IF(A26&lt;('2. Inputs and results'!$B$21+1),'2. Inputs and results'!$B$73*'2. Inputs and results'!$B$75+O25," ")</f>
        <v xml:space="preserve"> </v>
      </c>
      <c r="P26" s="4" t="str">
        <f>IF(A26&lt;('2. Inputs and results'!$B$21+1),(G26+I26+H26+J26)/((1+$P$2)^A26)," ")</f>
        <v xml:space="preserve"> </v>
      </c>
      <c r="Q26" s="4" t="str">
        <f>IF(A26&lt;('2. Inputs and results'!$B$21+1),Q25+P26," ")</f>
        <v xml:space="preserve"> </v>
      </c>
      <c r="R26" s="4" t="e">
        <f>IF(A26&lt;('2. Inputs and results'!$B$21+1),R25+G26+I26+H26+J26+T26-$V$6,NA())</f>
        <v>#N/A</v>
      </c>
      <c r="S26" s="4" t="str">
        <f>IF(A26&lt;('2. Inputs and results'!$B$21+1),'2. Inputs and results'!$B$79*(R25)," ")</f>
        <v xml:space="preserve"> </v>
      </c>
      <c r="T26" s="4">
        <f t="shared" si="1"/>
        <v>0</v>
      </c>
      <c r="U26" s="4" t="e">
        <f>IF(A26&lt;('2. Inputs and results'!$B$21+1),U25+(T26+I26+G26+H26+J26-$V$6)/((1+$P$2)^A26),NA())</f>
        <v>#N/A</v>
      </c>
      <c r="V26" s="4" t="str">
        <f>IF(A26&lt;('2. Inputs and results'!$B$21+1),V25+('2. Inputs and results'!$B$75*'2. Inputs and results'!$B$73)," ")</f>
        <v xml:space="preserve"> </v>
      </c>
      <c r="W26" s="4" t="e">
        <f>IF(A26&lt;('2. Inputs and results'!$B$21+1),W25+C26+Y26-$V$6,NA())</f>
        <v>#N/A</v>
      </c>
      <c r="X26" s="4" t="str">
        <f>IF(A26&lt;('2. Inputs and results'!$B$21+1),'2. Inputs and results'!$B$79*W25," ")</f>
        <v xml:space="preserve"> </v>
      </c>
      <c r="Y26" s="4">
        <f t="shared" si="2"/>
        <v>0</v>
      </c>
      <c r="Z26" s="4" t="e">
        <f>IF(A26&lt;('2. Inputs and results'!$B$21+1),Z25+(C26-$V$6+Y26)/((1+$P$2)^A26),NA())</f>
        <v>#N/A</v>
      </c>
      <c r="AA26" s="4" t="str">
        <f>IF(A26&lt;('2. Inputs and results'!$B$21+1),AA25+(G26+I26+H26+T26-$V$6)," ")</f>
        <v xml:space="preserve"> </v>
      </c>
      <c r="AB26" s="20" t="e">
        <f>IF(A26&lt;('2. Inputs and results'!$B$21+1),AA26/L26,NA())</f>
        <v>#N/A</v>
      </c>
      <c r="AC26" s="29" t="str">
        <f>IF(A26&lt;('2. Inputs and results'!$B$21+1),AC25+(C26+Y26-$V$6)," ")</f>
        <v xml:space="preserve"> </v>
      </c>
      <c r="AD26" s="20" t="e">
        <f>IF(A26&lt;('2. Inputs and results'!$B$21+1),AC26/L26,NA())</f>
        <v>#N/A</v>
      </c>
      <c r="AE26" t="str">
        <f>IF(A26&lt;('2. Inputs and results'!$B$21+1),-'2. Inputs and results'!$B$121*A26," ")</f>
        <v xml:space="preserve"> </v>
      </c>
      <c r="AF26" t="e">
        <f>IF(A26&lt;('2. Inputs and results'!$B$21+1),AE26/1000,NA())</f>
        <v>#N/A</v>
      </c>
    </row>
    <row r="27" spans="1:32" x14ac:dyDescent="0.25">
      <c r="A27">
        <f t="shared" si="0"/>
        <v>22</v>
      </c>
      <c r="B27" t="str">
        <f>IF(A27&lt;('2. Inputs and results'!$B$21+1),A27," ")</f>
        <v xml:space="preserve"> </v>
      </c>
      <c r="C27" s="4" t="str">
        <f>IF(A27&lt;('2. Inputs and results'!$B$21+1),'2. Inputs and results'!$B$99+'2. Inputs and results'!$B$101," ")</f>
        <v xml:space="preserve"> </v>
      </c>
      <c r="D27" s="4" t="e">
        <f>IF(A27&lt;('2. Inputs and results'!$B$21+1),D26+C27,NA())</f>
        <v>#N/A</v>
      </c>
      <c r="E27" s="4" t="str">
        <f>IF(B27&lt;('2. Inputs and results'!$B$21+1),C27/((1+$P$2)^A27)," ")</f>
        <v xml:space="preserve"> </v>
      </c>
      <c r="F27" s="4" t="str">
        <f>IF(A27&lt;('2. Inputs and results'!$B$21+1),F26+E27," ")</f>
        <v xml:space="preserve"> </v>
      </c>
      <c r="G27" s="4" t="str">
        <f>IF(A27&lt;('2. Inputs and results'!$B$21+1),G26*(1+'2. Inputs and results'!$B$46)," ")</f>
        <v xml:space="preserve"> </v>
      </c>
      <c r="H27" s="4" t="str">
        <f>IF(A27&lt;('2. Inputs and results'!$B$21+1),H26*(1+'2. Inputs and results'!$B$58)," ")</f>
        <v xml:space="preserve"> </v>
      </c>
      <c r="I27" s="4" t="str">
        <f>IF(A27&lt;('2. Inputs and results'!$B$21+1),I26*(1+'2. Inputs and results'!$B$34)," ")</f>
        <v xml:space="preserve"> </v>
      </c>
      <c r="J27" s="4" t="str">
        <f>IF(A27&lt;('2. Inputs and results'!$B$21+1),J26*(1+'2. Inputs and results'!$B$68)," ")</f>
        <v xml:space="preserve"> </v>
      </c>
      <c r="K27" s="4" t="e">
        <f>IF('Solution 1, (hidden) (2)'!A27&lt;('2. Inputs and results'!$B$21+1),K26+(G27+I27+H27+J27),NA())</f>
        <v>#N/A</v>
      </c>
      <c r="L27" s="4" t="e">
        <f>IF(A27&lt;('2. Inputs and results'!$B$21+1),L26,NA())</f>
        <v>#N/A</v>
      </c>
      <c r="M27" s="4" t="str">
        <f>IF(A27&lt;('2. Inputs and results'!$B$21+1),'2. Inputs and results'!$B$75*'2. Inputs and results'!$B$73," ")</f>
        <v xml:space="preserve"> </v>
      </c>
      <c r="N27" s="4" t="str">
        <f>IF(A27&lt;('2. Inputs and results'!$B$21+1),M27/((1+$P$2)^A27)," ")</f>
        <v xml:space="preserve"> </v>
      </c>
      <c r="O27" s="4" t="str">
        <f>IF(A27&lt;('2. Inputs and results'!$B$21+1),'2. Inputs and results'!$B$73*'2. Inputs and results'!$B$75+O26," ")</f>
        <v xml:space="preserve"> </v>
      </c>
      <c r="P27" s="4" t="str">
        <f>IF(A27&lt;('2. Inputs and results'!$B$21+1),(G27+I27+H27+J27)/((1+$P$2)^A27)," ")</f>
        <v xml:space="preserve"> </v>
      </c>
      <c r="Q27" s="4" t="str">
        <f>IF(A27&lt;('2. Inputs and results'!$B$21+1),Q26+P27," ")</f>
        <v xml:space="preserve"> </v>
      </c>
      <c r="R27" s="4" t="e">
        <f>IF(A27&lt;('2. Inputs and results'!$B$21+1),R26+G27+I27+H27+J27+T27-$V$6,NA())</f>
        <v>#N/A</v>
      </c>
      <c r="S27" s="4" t="str">
        <f>IF(A27&lt;('2. Inputs and results'!$B$21+1),'2. Inputs and results'!$B$79*(R26)," ")</f>
        <v xml:space="preserve"> </v>
      </c>
      <c r="T27" s="4">
        <f t="shared" si="1"/>
        <v>0</v>
      </c>
      <c r="U27" s="4" t="e">
        <f>IF(A27&lt;('2. Inputs and results'!$B$21+1),U26+(T27+I27+G27+H27+J27-$V$6)/((1+$P$2)^A27),NA())</f>
        <v>#N/A</v>
      </c>
      <c r="V27" s="4" t="str">
        <f>IF(A27&lt;('2. Inputs and results'!$B$21+1),V26+('2. Inputs and results'!$B$75*'2. Inputs and results'!$B$73)," ")</f>
        <v xml:space="preserve"> </v>
      </c>
      <c r="W27" s="4" t="e">
        <f>IF(A27&lt;('2. Inputs and results'!$B$21+1),W26+C27+Y27-$V$6,NA())</f>
        <v>#N/A</v>
      </c>
      <c r="X27" s="4" t="str">
        <f>IF(A27&lt;('2. Inputs and results'!$B$21+1),'2. Inputs and results'!$B$79*W26," ")</f>
        <v xml:space="preserve"> </v>
      </c>
      <c r="Y27" s="4">
        <f t="shared" si="2"/>
        <v>0</v>
      </c>
      <c r="Z27" s="4" t="e">
        <f>IF(A27&lt;('2. Inputs and results'!$B$21+1),Z26+(C27-$V$6+Y27)/((1+$P$2)^A27),NA())</f>
        <v>#N/A</v>
      </c>
      <c r="AA27" s="4" t="str">
        <f>IF(A27&lt;('2. Inputs and results'!$B$21+1),AA26+(G27+I27+H27+T27-$V$6)," ")</f>
        <v xml:space="preserve"> </v>
      </c>
      <c r="AB27" s="20" t="e">
        <f>IF(A27&lt;('2. Inputs and results'!$B$21+1),AA27/L27,NA())</f>
        <v>#N/A</v>
      </c>
      <c r="AC27" s="29" t="str">
        <f>IF(A27&lt;('2. Inputs and results'!$B$21+1),AC26+(C27+Y27-$V$6)," ")</f>
        <v xml:space="preserve"> </v>
      </c>
      <c r="AD27" s="20" t="e">
        <f>IF(A27&lt;('2. Inputs and results'!$B$21+1),AC27/L27,NA())</f>
        <v>#N/A</v>
      </c>
      <c r="AE27" t="str">
        <f>IF(A27&lt;('2. Inputs and results'!$B$21+1),-'2. Inputs and results'!$B$121*A27," ")</f>
        <v xml:space="preserve"> </v>
      </c>
      <c r="AF27" t="e">
        <f>IF(A27&lt;('2. Inputs and results'!$B$21+1),AE27/1000,NA())</f>
        <v>#N/A</v>
      </c>
    </row>
    <row r="28" spans="1:32" x14ac:dyDescent="0.25">
      <c r="A28">
        <f t="shared" si="0"/>
        <v>23</v>
      </c>
      <c r="B28" t="str">
        <f>IF(A28&lt;('2. Inputs and results'!$B$21+1),A28," ")</f>
        <v xml:space="preserve"> </v>
      </c>
      <c r="C28" s="4" t="str">
        <f>IF(A28&lt;('2. Inputs and results'!$B$21+1),'2. Inputs and results'!$B$99+'2. Inputs and results'!$B$101," ")</f>
        <v xml:space="preserve"> </v>
      </c>
      <c r="D28" s="4" t="e">
        <f>IF(A28&lt;('2. Inputs and results'!$B$21+1),D27+C28,NA())</f>
        <v>#N/A</v>
      </c>
      <c r="E28" s="4" t="str">
        <f>IF(B28&lt;('2. Inputs and results'!$B$21+1),C28/((1+$P$2)^A28)," ")</f>
        <v xml:space="preserve"> </v>
      </c>
      <c r="F28" s="4" t="str">
        <f>IF(A28&lt;('2. Inputs and results'!$B$21+1),F27+E28," ")</f>
        <v xml:space="preserve"> </v>
      </c>
      <c r="G28" s="4" t="str">
        <f>IF(A28&lt;('2. Inputs and results'!$B$21+1),G27*(1+'2. Inputs and results'!$B$46)," ")</f>
        <v xml:space="preserve"> </v>
      </c>
      <c r="H28" s="4" t="str">
        <f>IF(A28&lt;('2. Inputs and results'!$B$21+1),H27*(1+'2. Inputs and results'!$B$58)," ")</f>
        <v xml:space="preserve"> </v>
      </c>
      <c r="I28" s="4" t="str">
        <f>IF(A28&lt;('2. Inputs and results'!$B$21+1),I27*(1+'2. Inputs and results'!$B$34)," ")</f>
        <v xml:space="preserve"> </v>
      </c>
      <c r="J28" s="4" t="str">
        <f>IF(A28&lt;('2. Inputs and results'!$B$21+1),J27*(1+'2. Inputs and results'!$B$68)," ")</f>
        <v xml:space="preserve"> </v>
      </c>
      <c r="K28" s="4" t="e">
        <f>IF('Solution 1, (hidden) (2)'!A28&lt;('2. Inputs and results'!$B$21+1),K27+(G28+I28+H28+J28),NA())</f>
        <v>#N/A</v>
      </c>
      <c r="L28" s="4" t="e">
        <f>IF(A28&lt;('2. Inputs and results'!$B$21+1),L27,NA())</f>
        <v>#N/A</v>
      </c>
      <c r="M28" s="4" t="str">
        <f>IF(A28&lt;('2. Inputs and results'!$B$21+1),'2. Inputs and results'!$B$75*'2. Inputs and results'!$B$73," ")</f>
        <v xml:space="preserve"> </v>
      </c>
      <c r="N28" s="4" t="str">
        <f>IF(A28&lt;('2. Inputs and results'!$B$21+1),M28/((1+$P$2)^A28)," ")</f>
        <v xml:space="preserve"> </v>
      </c>
      <c r="O28" s="4" t="str">
        <f>IF(A28&lt;('2. Inputs and results'!$B$21+1),'2. Inputs and results'!$B$73*'2. Inputs and results'!$B$75+O27," ")</f>
        <v xml:space="preserve"> </v>
      </c>
      <c r="P28" s="4" t="str">
        <f>IF(A28&lt;('2. Inputs and results'!$B$21+1),(G28+I28+H28+J28)/((1+$P$2)^A28)," ")</f>
        <v xml:space="preserve"> </v>
      </c>
      <c r="Q28" s="4" t="str">
        <f>IF(A28&lt;('2. Inputs and results'!$B$21+1),Q27+P28," ")</f>
        <v xml:space="preserve"> </v>
      </c>
      <c r="R28" s="4" t="e">
        <f>IF(A28&lt;('2. Inputs and results'!$B$21+1),R27+G28+I28+H28+J28+T28-$V$6,NA())</f>
        <v>#N/A</v>
      </c>
      <c r="S28" s="4" t="str">
        <f>IF(A28&lt;('2. Inputs and results'!$B$21+1),'2. Inputs and results'!$B$79*(R27)," ")</f>
        <v xml:space="preserve"> </v>
      </c>
      <c r="T28" s="4">
        <f t="shared" si="1"/>
        <v>0</v>
      </c>
      <c r="U28" s="4" t="e">
        <f>IF(A28&lt;('2. Inputs and results'!$B$21+1),U27+(T28+I28+G28+H28+J28-$V$6)/((1+$P$2)^A28),NA())</f>
        <v>#N/A</v>
      </c>
      <c r="V28" s="4" t="str">
        <f>IF(A28&lt;('2. Inputs and results'!$B$21+1),V27+('2. Inputs and results'!$B$75*'2. Inputs and results'!$B$73)," ")</f>
        <v xml:space="preserve"> </v>
      </c>
      <c r="W28" s="4" t="e">
        <f>IF(A28&lt;('2. Inputs and results'!$B$21+1),W27+C28+Y28-$V$6,NA())</f>
        <v>#N/A</v>
      </c>
      <c r="X28" s="4" t="str">
        <f>IF(A28&lt;('2. Inputs and results'!$B$21+1),'2. Inputs and results'!$B$79*W27," ")</f>
        <v xml:space="preserve"> </v>
      </c>
      <c r="Y28" s="4">
        <f t="shared" si="2"/>
        <v>0</v>
      </c>
      <c r="Z28" s="4" t="e">
        <f>IF(A28&lt;('2. Inputs and results'!$B$21+1),Z27+(C28-$V$6+Y28)/((1+$P$2)^A28),NA())</f>
        <v>#N/A</v>
      </c>
      <c r="AA28" s="4" t="str">
        <f>IF(A28&lt;('2. Inputs and results'!$B$21+1),AA27+(G28+I28+H28+T28-$V$6)," ")</f>
        <v xml:space="preserve"> </v>
      </c>
      <c r="AB28" s="20" t="e">
        <f>IF(A28&lt;('2. Inputs and results'!$B$21+1),AA28/L28,NA())</f>
        <v>#N/A</v>
      </c>
      <c r="AC28" s="29" t="str">
        <f>IF(A28&lt;('2. Inputs and results'!$B$21+1),AC27+(C28+Y28-$V$6)," ")</f>
        <v xml:space="preserve"> </v>
      </c>
      <c r="AD28" s="20" t="e">
        <f>IF(A28&lt;('2. Inputs and results'!$B$21+1),AC28/L28,NA())</f>
        <v>#N/A</v>
      </c>
      <c r="AE28" t="str">
        <f>IF(A28&lt;('2. Inputs and results'!$B$21+1),-'2. Inputs and results'!$B$121*A28," ")</f>
        <v xml:space="preserve"> </v>
      </c>
      <c r="AF28" t="e">
        <f>IF(A28&lt;('2. Inputs and results'!$B$21+1),AE28/1000,NA())</f>
        <v>#N/A</v>
      </c>
    </row>
    <row r="29" spans="1:32" x14ac:dyDescent="0.25">
      <c r="A29">
        <f t="shared" si="0"/>
        <v>24</v>
      </c>
      <c r="B29" t="str">
        <f>IF(A29&lt;('2. Inputs and results'!$B$21+1),A29," ")</f>
        <v xml:space="preserve"> </v>
      </c>
      <c r="C29" s="4" t="str">
        <f>IF(A29&lt;('2. Inputs and results'!$B$21+1),'2. Inputs and results'!$B$99+'2. Inputs and results'!$B$101," ")</f>
        <v xml:space="preserve"> </v>
      </c>
      <c r="D29" s="4" t="e">
        <f>IF(A29&lt;('2. Inputs and results'!$B$21+1),D28+C29,NA())</f>
        <v>#N/A</v>
      </c>
      <c r="E29" s="4" t="str">
        <f>IF(B29&lt;('2. Inputs and results'!$B$21+1),C29/((1+$P$2)^A29)," ")</f>
        <v xml:space="preserve"> </v>
      </c>
      <c r="F29" s="4" t="str">
        <f>IF(A29&lt;('2. Inputs and results'!$B$21+1),F28+E29," ")</f>
        <v xml:space="preserve"> </v>
      </c>
      <c r="G29" s="4" t="str">
        <f>IF(A29&lt;('2. Inputs and results'!$B$21+1),G28*(1+'2. Inputs and results'!$B$46)," ")</f>
        <v xml:space="preserve"> </v>
      </c>
      <c r="H29" s="4" t="str">
        <f>IF(A29&lt;('2. Inputs and results'!$B$21+1),H28*(1+'2. Inputs and results'!$B$58)," ")</f>
        <v xml:space="preserve"> </v>
      </c>
      <c r="I29" s="4" t="str">
        <f>IF(A29&lt;('2. Inputs and results'!$B$21+1),I28*(1+'2. Inputs and results'!$B$34)," ")</f>
        <v xml:space="preserve"> </v>
      </c>
      <c r="J29" s="4" t="str">
        <f>IF(A29&lt;('2. Inputs and results'!$B$21+1),J28*(1+'2. Inputs and results'!$B$68)," ")</f>
        <v xml:space="preserve"> </v>
      </c>
      <c r="K29" s="4" t="e">
        <f>IF('Solution 1, (hidden) (2)'!A29&lt;('2. Inputs and results'!$B$21+1),K28+(G29+I29+H29+J29),NA())</f>
        <v>#N/A</v>
      </c>
      <c r="L29" s="4" t="e">
        <f>IF(A29&lt;('2. Inputs and results'!$B$21+1),L28,NA())</f>
        <v>#N/A</v>
      </c>
      <c r="M29" s="4" t="str">
        <f>IF(A29&lt;('2. Inputs and results'!$B$21+1),'2. Inputs and results'!$B$75*'2. Inputs and results'!$B$73," ")</f>
        <v xml:space="preserve"> </v>
      </c>
      <c r="N29" s="4" t="str">
        <f>IF(A29&lt;('2. Inputs and results'!$B$21+1),M29/((1+$P$2)^A29)," ")</f>
        <v xml:space="preserve"> </v>
      </c>
      <c r="O29" s="4" t="str">
        <f>IF(A29&lt;('2. Inputs and results'!$B$21+1),'2. Inputs and results'!$B$73*'2. Inputs and results'!$B$75+O28," ")</f>
        <v xml:space="preserve"> </v>
      </c>
      <c r="P29" s="4" t="str">
        <f>IF(A29&lt;('2. Inputs and results'!$B$21+1),(G29+I29+H29+J29)/((1+$P$2)^A29)," ")</f>
        <v xml:space="preserve"> </v>
      </c>
      <c r="Q29" s="4" t="str">
        <f>IF(A29&lt;('2. Inputs and results'!$B$21+1),Q28+P29," ")</f>
        <v xml:space="preserve"> </v>
      </c>
      <c r="R29" s="4" t="e">
        <f>IF(A29&lt;('2. Inputs and results'!$B$21+1),R28+G29+I29+H29+J29+T29-$V$6,NA())</f>
        <v>#N/A</v>
      </c>
      <c r="S29" s="4" t="str">
        <f>IF(A29&lt;('2. Inputs and results'!$B$21+1),'2. Inputs and results'!$B$79*(R28)," ")</f>
        <v xml:space="preserve"> </v>
      </c>
      <c r="T29" s="4">
        <f t="shared" si="1"/>
        <v>0</v>
      </c>
      <c r="U29" s="4" t="e">
        <f>IF(A29&lt;('2. Inputs and results'!$B$21+1),U28+(T29+I29+G29+H29+J29-$V$6)/((1+$P$2)^A29),NA())</f>
        <v>#N/A</v>
      </c>
      <c r="V29" s="4" t="str">
        <f>IF(A29&lt;('2. Inputs and results'!$B$21+1),V28+('2. Inputs and results'!$B$75*'2. Inputs and results'!$B$73)," ")</f>
        <v xml:space="preserve"> </v>
      </c>
      <c r="W29" s="4" t="e">
        <f>IF(A29&lt;('2. Inputs and results'!$B$21+1),W28+C29+Y29-$V$6,NA())</f>
        <v>#N/A</v>
      </c>
      <c r="X29" s="4" t="str">
        <f>IF(A29&lt;('2. Inputs and results'!$B$21+1),'2. Inputs and results'!$B$79*W28," ")</f>
        <v xml:space="preserve"> </v>
      </c>
      <c r="Y29" s="4">
        <f t="shared" si="2"/>
        <v>0</v>
      </c>
      <c r="Z29" s="4" t="e">
        <f>IF(A29&lt;('2. Inputs and results'!$B$21+1),Z28+(C29-$V$6+Y29)/((1+$P$2)^A29),NA())</f>
        <v>#N/A</v>
      </c>
      <c r="AA29" s="4" t="str">
        <f>IF(A29&lt;('2. Inputs and results'!$B$21+1),AA28+(G29+I29+H29+T29-$V$6)," ")</f>
        <v xml:space="preserve"> </v>
      </c>
      <c r="AB29" s="20" t="e">
        <f>IF(A29&lt;('2. Inputs and results'!$B$21+1),AA29/L29,NA())</f>
        <v>#N/A</v>
      </c>
      <c r="AC29" s="29" t="str">
        <f>IF(A29&lt;('2. Inputs and results'!$B$21+1),AC28+(C29+Y29-$V$6)," ")</f>
        <v xml:space="preserve"> </v>
      </c>
      <c r="AD29" s="20" t="e">
        <f>IF(A29&lt;('2. Inputs and results'!$B$21+1),AC29/L29,NA())</f>
        <v>#N/A</v>
      </c>
      <c r="AE29" t="str">
        <f>IF(A29&lt;('2. Inputs and results'!$B$21+1),-'2. Inputs and results'!$B$121*A29," ")</f>
        <v xml:space="preserve"> </v>
      </c>
      <c r="AF29" t="e">
        <f>IF(A29&lt;('2. Inputs and results'!$B$21+1),AE29/1000,NA())</f>
        <v>#N/A</v>
      </c>
    </row>
    <row r="30" spans="1:32" x14ac:dyDescent="0.25">
      <c r="A30">
        <f t="shared" si="0"/>
        <v>25</v>
      </c>
      <c r="B30" t="str">
        <f>IF(A30&lt;('2. Inputs and results'!$B$21+1),A30," ")</f>
        <v xml:space="preserve"> </v>
      </c>
      <c r="C30" s="4" t="str">
        <f>IF(A30&lt;('2. Inputs and results'!$B$21+1),'2. Inputs and results'!$B$99+'2. Inputs and results'!$B$101," ")</f>
        <v xml:space="preserve"> </v>
      </c>
      <c r="D30" s="4" t="e">
        <f>IF(A30&lt;('2. Inputs and results'!$B$21+1),D29+C30,NA())</f>
        <v>#N/A</v>
      </c>
      <c r="E30" s="4" t="str">
        <f>IF(B30&lt;('2. Inputs and results'!$B$21+1),C30/((1+$P$2)^A30)," ")</f>
        <v xml:space="preserve"> </v>
      </c>
      <c r="F30" s="4" t="str">
        <f>IF(A30&lt;('2. Inputs and results'!$B$21+1),F29+E30," ")</f>
        <v xml:space="preserve"> </v>
      </c>
      <c r="G30" s="4" t="str">
        <f>IF(A30&lt;('2. Inputs and results'!$B$21+1),G29*(1+'2. Inputs and results'!$B$46)," ")</f>
        <v xml:space="preserve"> </v>
      </c>
      <c r="H30" s="4" t="str">
        <f>IF(A30&lt;('2. Inputs and results'!$B$21+1),H29*(1+'2. Inputs and results'!$B$58)," ")</f>
        <v xml:space="preserve"> </v>
      </c>
      <c r="I30" s="4" t="str">
        <f>IF(A30&lt;('2. Inputs and results'!$B$21+1),I29*(1+'2. Inputs and results'!$B$34)," ")</f>
        <v xml:space="preserve"> </v>
      </c>
      <c r="J30" s="4" t="str">
        <f>IF(A30&lt;('2. Inputs and results'!$B$21+1),J29*(1+'2. Inputs and results'!$B$68)," ")</f>
        <v xml:space="preserve"> </v>
      </c>
      <c r="K30" s="4" t="e">
        <f>IF('Solution 1, (hidden) (2)'!A30&lt;('2. Inputs and results'!$B$21+1),K29+(G30+I30+H30+J30),NA())</f>
        <v>#N/A</v>
      </c>
      <c r="L30" s="4" t="e">
        <f>IF(A30&lt;('2. Inputs and results'!$B$21+1),L29,NA())</f>
        <v>#N/A</v>
      </c>
      <c r="M30" s="4" t="str">
        <f>IF(A30&lt;('2. Inputs and results'!$B$21+1),'2. Inputs and results'!$B$75*'2. Inputs and results'!$B$73," ")</f>
        <v xml:space="preserve"> </v>
      </c>
      <c r="N30" s="4" t="str">
        <f>IF(A30&lt;('2. Inputs and results'!$B$21+1),M30/((1+$P$2)^A30)," ")</f>
        <v xml:space="preserve"> </v>
      </c>
      <c r="O30" s="4" t="str">
        <f>IF(A30&lt;('2. Inputs and results'!$B$21+1),'2. Inputs and results'!$B$73*'2. Inputs and results'!$B$75+O29," ")</f>
        <v xml:space="preserve"> </v>
      </c>
      <c r="P30" s="4" t="str">
        <f>IF(A30&lt;('2. Inputs and results'!$B$21+1),(G30+I30+H30+J30)/((1+$P$2)^A30)," ")</f>
        <v xml:space="preserve"> </v>
      </c>
      <c r="Q30" s="4" t="str">
        <f>IF(A30&lt;('2. Inputs and results'!$B$21+1),Q29+P30," ")</f>
        <v xml:space="preserve"> </v>
      </c>
      <c r="R30" s="4" t="e">
        <f>IF(A30&lt;('2. Inputs and results'!$B$21+1),R29+G30+I30+H30+J30+T30-$V$6,NA())</f>
        <v>#N/A</v>
      </c>
      <c r="S30" s="4" t="str">
        <f>IF(A30&lt;('2. Inputs and results'!$B$21+1),'2. Inputs and results'!$B$79*(R29)," ")</f>
        <v xml:space="preserve"> </v>
      </c>
      <c r="T30" s="4">
        <f t="shared" si="1"/>
        <v>0</v>
      </c>
      <c r="U30" s="4" t="e">
        <f>IF(A30&lt;('2. Inputs and results'!$B$21+1),U29+(T30+I30+G30+H30+J30-$V$6)/((1+$P$2)^A30),NA())</f>
        <v>#N/A</v>
      </c>
      <c r="V30" s="4" t="str">
        <f>IF(A30&lt;('2. Inputs and results'!$B$21+1),V29+('2. Inputs and results'!$B$75*'2. Inputs and results'!$B$73)," ")</f>
        <v xml:space="preserve"> </v>
      </c>
      <c r="W30" s="4" t="e">
        <f>IF(A30&lt;('2. Inputs and results'!$B$21+1),W29+C30+Y30-$V$6,NA())</f>
        <v>#N/A</v>
      </c>
      <c r="X30" s="4" t="str">
        <f>IF(A30&lt;('2. Inputs and results'!$B$21+1),'2. Inputs and results'!$B$79*W29," ")</f>
        <v xml:space="preserve"> </v>
      </c>
      <c r="Y30" s="4">
        <f t="shared" si="2"/>
        <v>0</v>
      </c>
      <c r="Z30" s="4" t="e">
        <f>IF(A30&lt;('2. Inputs and results'!$B$21+1),Z29+(C30-$V$6+Y30)/((1+$P$2)^A30),NA())</f>
        <v>#N/A</v>
      </c>
      <c r="AA30" s="4" t="str">
        <f>IF(A30&lt;('2. Inputs and results'!$B$21+1),AA29+(G30+I30+H30+T30-$V$6)," ")</f>
        <v xml:space="preserve"> </v>
      </c>
      <c r="AB30" s="20" t="e">
        <f>IF(A30&lt;('2. Inputs and results'!$B$21+1),AA30/L30,NA())</f>
        <v>#N/A</v>
      </c>
      <c r="AC30" s="29" t="str">
        <f>IF(A30&lt;('2. Inputs and results'!$B$21+1),AC29+(C30+Y30-$V$6)," ")</f>
        <v xml:space="preserve"> </v>
      </c>
      <c r="AD30" s="20" t="e">
        <f>IF(A30&lt;('2. Inputs and results'!$B$21+1),AC30/L30,NA())</f>
        <v>#N/A</v>
      </c>
      <c r="AE30" t="str">
        <f>IF(A30&lt;('2. Inputs and results'!$B$21+1),-'2. Inputs and results'!$B$121*A30," ")</f>
        <v xml:space="preserve"> </v>
      </c>
      <c r="AF30" t="e">
        <f>IF(A30&lt;('2. Inputs and results'!$B$21+1),AE30/1000,NA())</f>
        <v>#N/A</v>
      </c>
    </row>
    <row r="31" spans="1:32" x14ac:dyDescent="0.25">
      <c r="A31">
        <f t="shared" si="0"/>
        <v>26</v>
      </c>
      <c r="B31" t="str">
        <f>IF(A31&lt;('2. Inputs and results'!$B$21+1),A31," ")</f>
        <v xml:space="preserve"> </v>
      </c>
      <c r="C31" s="4" t="str">
        <f>IF(A31&lt;('2. Inputs and results'!$B$21+1),'2. Inputs and results'!$B$99+'2. Inputs and results'!$B$101," ")</f>
        <v xml:space="preserve"> </v>
      </c>
      <c r="D31" s="4" t="e">
        <f>IF(A31&lt;('2. Inputs and results'!$B$21+1),D30+C31,NA())</f>
        <v>#N/A</v>
      </c>
      <c r="E31" s="4" t="str">
        <f>IF(B31&lt;('2. Inputs and results'!$B$21+1),C31/((1+$P$2)^A31)," ")</f>
        <v xml:space="preserve"> </v>
      </c>
      <c r="F31" s="4" t="str">
        <f>IF(A31&lt;('2. Inputs and results'!$B$21+1),F30+E31," ")</f>
        <v xml:space="preserve"> </v>
      </c>
      <c r="G31" s="4" t="str">
        <f>IF(A31&lt;('2. Inputs and results'!$B$21+1),G30*(1+'2. Inputs and results'!$B$46)," ")</f>
        <v xml:space="preserve"> </v>
      </c>
      <c r="H31" s="4" t="str">
        <f>IF(A31&lt;('2. Inputs and results'!$B$21+1),H30*(1+'2. Inputs and results'!$B$58)," ")</f>
        <v xml:space="preserve"> </v>
      </c>
      <c r="I31" s="4" t="str">
        <f>IF(A31&lt;('2. Inputs and results'!$B$21+1),I30*(1+'2. Inputs and results'!$B$34)," ")</f>
        <v xml:space="preserve"> </v>
      </c>
      <c r="J31" s="4" t="str">
        <f>IF(A31&lt;('2. Inputs and results'!$B$21+1),J30*(1+'2. Inputs and results'!$B$68)," ")</f>
        <v xml:space="preserve"> </v>
      </c>
      <c r="K31" s="4" t="e">
        <f>IF('Solution 1, (hidden) (2)'!A31&lt;('2. Inputs and results'!$B$21+1),K30+(G31+I31+H31+J31),NA())</f>
        <v>#N/A</v>
      </c>
      <c r="L31" s="4" t="e">
        <f>IF(A31&lt;('2. Inputs and results'!$B$21+1),L30,NA())</f>
        <v>#N/A</v>
      </c>
      <c r="M31" s="4" t="str">
        <f>IF(A31&lt;('2. Inputs and results'!$B$21+1),'2. Inputs and results'!$B$75*'2. Inputs and results'!$B$73," ")</f>
        <v xml:space="preserve"> </v>
      </c>
      <c r="N31" s="4" t="str">
        <f>IF(A31&lt;('2. Inputs and results'!$B$21+1),M31/((1+$P$2)^A31)," ")</f>
        <v xml:space="preserve"> </v>
      </c>
      <c r="O31" s="4" t="str">
        <f>IF(A31&lt;('2. Inputs and results'!$B$21+1),'2. Inputs and results'!$B$73*'2. Inputs and results'!$B$75+O30," ")</f>
        <v xml:space="preserve"> </v>
      </c>
      <c r="P31" s="4" t="str">
        <f>IF(A31&lt;('2. Inputs and results'!$B$21+1),(G31+I31+H31+J31)/((1+$P$2)^A31)," ")</f>
        <v xml:space="preserve"> </v>
      </c>
      <c r="Q31" s="4" t="str">
        <f>IF(A31&lt;('2. Inputs and results'!$B$21+1),Q30+P31," ")</f>
        <v xml:space="preserve"> </v>
      </c>
      <c r="R31" s="4" t="e">
        <f>IF(A31&lt;('2. Inputs and results'!$B$21+1),R30+G31+I31+H31+J31+T31-$V$6,NA())</f>
        <v>#N/A</v>
      </c>
      <c r="S31" s="4" t="str">
        <f>IF(A31&lt;('2. Inputs and results'!$B$21+1),'2. Inputs and results'!$B$79*(R30)," ")</f>
        <v xml:space="preserve"> </v>
      </c>
      <c r="T31" s="4">
        <f t="shared" si="1"/>
        <v>0</v>
      </c>
      <c r="U31" s="4" t="e">
        <f>IF(A31&lt;('2. Inputs and results'!$B$21+1),U30+(T31+I31+G31+H31+J31-$V$6)/((1+$P$2)^A31),NA())</f>
        <v>#N/A</v>
      </c>
      <c r="V31" s="4" t="str">
        <f>IF(A31&lt;('2. Inputs and results'!$B$21+1),V30+('2. Inputs and results'!$B$75*'2. Inputs and results'!$B$73)," ")</f>
        <v xml:space="preserve"> </v>
      </c>
      <c r="W31" s="4" t="e">
        <f>IF(A31&lt;('2. Inputs and results'!$B$21+1),W30+C31+Y31-$V$6,NA())</f>
        <v>#N/A</v>
      </c>
      <c r="X31" s="4" t="str">
        <f>IF(A31&lt;('2. Inputs and results'!$B$21+1),'2. Inputs and results'!$B$79*W30," ")</f>
        <v xml:space="preserve"> </v>
      </c>
      <c r="Y31" s="4">
        <f t="shared" si="2"/>
        <v>0</v>
      </c>
      <c r="Z31" s="4" t="e">
        <f>IF(A31&lt;('2. Inputs and results'!$B$21+1),Z30+(C31-$V$6+Y31)/((1+$P$2)^A31),NA())</f>
        <v>#N/A</v>
      </c>
      <c r="AA31" s="4" t="str">
        <f>IF(A31&lt;('2. Inputs and results'!$B$21+1),AA30+(G31+I31+H31+T31-$V$6)," ")</f>
        <v xml:space="preserve"> </v>
      </c>
      <c r="AB31" s="20" t="e">
        <f>IF(A31&lt;('2. Inputs and results'!$B$21+1),AA31/L31,NA())</f>
        <v>#N/A</v>
      </c>
      <c r="AC31" s="29" t="str">
        <f>IF(A31&lt;('2. Inputs and results'!$B$21+1),AC30+(C31+Y31-$V$6)," ")</f>
        <v xml:space="preserve"> </v>
      </c>
      <c r="AD31" s="20" t="e">
        <f>IF(A31&lt;('2. Inputs and results'!$B$21+1),AC31/L31,NA())</f>
        <v>#N/A</v>
      </c>
      <c r="AE31" t="str">
        <f>IF(A31&lt;('2. Inputs and results'!$B$21+1),-'2. Inputs and results'!$B$121*A31," ")</f>
        <v xml:space="preserve"> </v>
      </c>
      <c r="AF31" t="e">
        <f>IF(A31&lt;('2. Inputs and results'!$B$21+1),AE31/1000,NA())</f>
        <v>#N/A</v>
      </c>
    </row>
    <row r="32" spans="1:32" x14ac:dyDescent="0.25">
      <c r="A32">
        <f t="shared" si="0"/>
        <v>27</v>
      </c>
      <c r="B32" t="str">
        <f>IF(A32&lt;('2. Inputs and results'!$B$21+1),A32," ")</f>
        <v xml:space="preserve"> </v>
      </c>
      <c r="C32" s="4" t="str">
        <f>IF(A32&lt;('2. Inputs and results'!$B$21+1),'2. Inputs and results'!$B$99+'2. Inputs and results'!$B$101," ")</f>
        <v xml:space="preserve"> </v>
      </c>
      <c r="D32" s="4" t="e">
        <f>IF(A32&lt;('2. Inputs and results'!$B$21+1),D31+C32,NA())</f>
        <v>#N/A</v>
      </c>
      <c r="E32" s="4" t="str">
        <f>IF(B32&lt;('2. Inputs and results'!$B$21+1),C32/((1+$P$2)^A32)," ")</f>
        <v xml:space="preserve"> </v>
      </c>
      <c r="F32" s="4" t="str">
        <f>IF(A32&lt;('2. Inputs and results'!$B$21+1),F31+E32," ")</f>
        <v xml:space="preserve"> </v>
      </c>
      <c r="G32" s="4" t="str">
        <f>IF(A32&lt;('2. Inputs and results'!$B$21+1),G31*(1+'2. Inputs and results'!$B$46)," ")</f>
        <v xml:space="preserve"> </v>
      </c>
      <c r="H32" s="4" t="str">
        <f>IF(A32&lt;('2. Inputs and results'!$B$21+1),H31*(1+'2. Inputs and results'!$B$58)," ")</f>
        <v xml:space="preserve"> </v>
      </c>
      <c r="I32" s="4" t="str">
        <f>IF(A32&lt;('2. Inputs and results'!$B$21+1),I31*(1+'2. Inputs and results'!$B$34)," ")</f>
        <v xml:space="preserve"> </v>
      </c>
      <c r="J32" s="4" t="str">
        <f>IF(A32&lt;('2. Inputs and results'!$B$21+1),J31*(1+'2. Inputs and results'!$B$68)," ")</f>
        <v xml:space="preserve"> </v>
      </c>
      <c r="K32" s="4" t="e">
        <f>IF('Solution 1, (hidden) (2)'!A32&lt;('2. Inputs and results'!$B$21+1),K31+(G32+I32+H32+J32),NA())</f>
        <v>#N/A</v>
      </c>
      <c r="L32" s="4" t="e">
        <f>IF(A32&lt;('2. Inputs and results'!$B$21+1),L31,NA())</f>
        <v>#N/A</v>
      </c>
      <c r="M32" s="4" t="str">
        <f>IF(A32&lt;('2. Inputs and results'!$B$21+1),'2. Inputs and results'!$B$75*'2. Inputs and results'!$B$73," ")</f>
        <v xml:space="preserve"> </v>
      </c>
      <c r="N32" s="4" t="str">
        <f>IF(A32&lt;('2. Inputs and results'!$B$21+1),M32/((1+$P$2)^A32)," ")</f>
        <v xml:space="preserve"> </v>
      </c>
      <c r="O32" s="4" t="str">
        <f>IF(A32&lt;('2. Inputs and results'!$B$21+1),'2. Inputs and results'!$B$73*'2. Inputs and results'!$B$75+O31," ")</f>
        <v xml:space="preserve"> </v>
      </c>
      <c r="P32" s="4" t="str">
        <f>IF(A32&lt;('2. Inputs and results'!$B$21+1),(G32+I32+H32+J32)/((1+$P$2)^A32)," ")</f>
        <v xml:space="preserve"> </v>
      </c>
      <c r="Q32" s="4" t="str">
        <f>IF(A32&lt;('2. Inputs and results'!$B$21+1),Q31+P32," ")</f>
        <v xml:space="preserve"> </v>
      </c>
      <c r="R32" s="4" t="e">
        <f>IF(A32&lt;('2. Inputs and results'!$B$21+1),R31+G32+I32+H32+J32+T32-$V$6,NA())</f>
        <v>#N/A</v>
      </c>
      <c r="S32" s="4" t="str">
        <f>IF(A32&lt;('2. Inputs and results'!$B$21+1),'2. Inputs and results'!$B$79*(R31)," ")</f>
        <v xml:space="preserve"> </v>
      </c>
      <c r="T32" s="4">
        <f t="shared" si="1"/>
        <v>0</v>
      </c>
      <c r="U32" s="4" t="e">
        <f>IF(A32&lt;('2. Inputs and results'!$B$21+1),U31+(T32+I32+G32+H32+J32-$V$6)/((1+$P$2)^A32),NA())</f>
        <v>#N/A</v>
      </c>
      <c r="V32" s="4" t="str">
        <f>IF(A32&lt;('2. Inputs and results'!$B$21+1),V31+('2. Inputs and results'!$B$75*'2. Inputs and results'!$B$73)," ")</f>
        <v xml:space="preserve"> </v>
      </c>
      <c r="W32" s="4" t="e">
        <f>IF(A32&lt;('2. Inputs and results'!$B$21+1),W31+C32+Y32-$V$6,NA())</f>
        <v>#N/A</v>
      </c>
      <c r="X32" s="4" t="str">
        <f>IF(A32&lt;('2. Inputs and results'!$B$21+1),'2. Inputs and results'!$B$79*W31," ")</f>
        <v xml:space="preserve"> </v>
      </c>
      <c r="Y32" s="4">
        <f t="shared" si="2"/>
        <v>0</v>
      </c>
      <c r="Z32" s="4" t="e">
        <f>IF(A32&lt;('2. Inputs and results'!$B$21+1),Z31+(C32-$V$6+Y32)/((1+$P$2)^A32),NA())</f>
        <v>#N/A</v>
      </c>
      <c r="AA32" s="4" t="str">
        <f>IF(A32&lt;('2. Inputs and results'!$B$21+1),AA31+(G32+I32+H32+T32-$V$6)," ")</f>
        <v xml:space="preserve"> </v>
      </c>
      <c r="AB32" s="20" t="e">
        <f>IF(A32&lt;('2. Inputs and results'!$B$21+1),AA32/L32,NA())</f>
        <v>#N/A</v>
      </c>
      <c r="AC32" s="29" t="str">
        <f>IF(A32&lt;('2. Inputs and results'!$B$21+1),AC31+(C32+Y32-$V$6)," ")</f>
        <v xml:space="preserve"> </v>
      </c>
      <c r="AD32" s="20" t="e">
        <f>IF(A32&lt;('2. Inputs and results'!$B$21+1),AC32/L32,NA())</f>
        <v>#N/A</v>
      </c>
      <c r="AE32" t="str">
        <f>IF(A32&lt;('2. Inputs and results'!$B$21+1),-'2. Inputs and results'!$B$121*A32," ")</f>
        <v xml:space="preserve"> </v>
      </c>
      <c r="AF32" t="e">
        <f>IF(A32&lt;('2. Inputs and results'!$B$21+1),AE32/1000,NA())</f>
        <v>#N/A</v>
      </c>
    </row>
    <row r="33" spans="1:32" x14ac:dyDescent="0.25">
      <c r="A33">
        <f t="shared" si="0"/>
        <v>28</v>
      </c>
      <c r="B33" t="str">
        <f>IF(A33&lt;('2. Inputs and results'!$B$21+1),A33," ")</f>
        <v xml:space="preserve"> </v>
      </c>
      <c r="C33" s="4" t="str">
        <f>IF(A33&lt;('2. Inputs and results'!$B$21+1),'2. Inputs and results'!$B$99+'2. Inputs and results'!$B$101," ")</f>
        <v xml:space="preserve"> </v>
      </c>
      <c r="D33" s="4" t="e">
        <f>IF(A33&lt;('2. Inputs and results'!$B$21+1),D32+C33,NA())</f>
        <v>#N/A</v>
      </c>
      <c r="E33" s="4" t="str">
        <f>IF(B33&lt;('2. Inputs and results'!$B$21+1),C33/((1+$P$2)^A33)," ")</f>
        <v xml:space="preserve"> </v>
      </c>
      <c r="F33" s="4" t="str">
        <f>IF(A33&lt;('2. Inputs and results'!$B$21+1),F32+E33," ")</f>
        <v xml:space="preserve"> </v>
      </c>
      <c r="G33" s="4" t="str">
        <f>IF(A33&lt;('2. Inputs and results'!$B$21+1),G32*(1+'2. Inputs and results'!$B$46)," ")</f>
        <v xml:space="preserve"> </v>
      </c>
      <c r="H33" s="4" t="str">
        <f>IF(A33&lt;('2. Inputs and results'!$B$21+1),H32*(1+'2. Inputs and results'!$B$58)," ")</f>
        <v xml:space="preserve"> </v>
      </c>
      <c r="I33" s="4" t="str">
        <f>IF(A33&lt;('2. Inputs and results'!$B$21+1),I32*(1+'2. Inputs and results'!$B$34)," ")</f>
        <v xml:space="preserve"> </v>
      </c>
      <c r="J33" s="4" t="str">
        <f>IF(A33&lt;('2. Inputs and results'!$B$21+1),J32*(1+'2. Inputs and results'!$B$68)," ")</f>
        <v xml:space="preserve"> </v>
      </c>
      <c r="K33" s="4" t="e">
        <f>IF('Solution 1, (hidden) (2)'!A33&lt;('2. Inputs and results'!$B$21+1),K32+(G33+I33+H33+J33),NA())</f>
        <v>#N/A</v>
      </c>
      <c r="L33" s="4" t="e">
        <f>IF(A33&lt;('2. Inputs and results'!$B$21+1),L32,NA())</f>
        <v>#N/A</v>
      </c>
      <c r="M33" s="4" t="str">
        <f>IF(A33&lt;('2. Inputs and results'!$B$21+1),'2. Inputs and results'!$B$75*'2. Inputs and results'!$B$73," ")</f>
        <v xml:space="preserve"> </v>
      </c>
      <c r="N33" s="4" t="str">
        <f>IF(A33&lt;('2. Inputs and results'!$B$21+1),M33/((1+$P$2)^A33)," ")</f>
        <v xml:space="preserve"> </v>
      </c>
      <c r="O33" s="4" t="str">
        <f>IF(A33&lt;('2. Inputs and results'!$B$21+1),'2. Inputs and results'!$B$73*'2. Inputs and results'!$B$75+O32," ")</f>
        <v xml:space="preserve"> </v>
      </c>
      <c r="P33" s="4" t="str">
        <f>IF(A33&lt;('2. Inputs and results'!$B$21+1),(G33+I33+H33+J33)/((1+$P$2)^A33)," ")</f>
        <v xml:space="preserve"> </v>
      </c>
      <c r="Q33" s="4" t="str">
        <f>IF(A33&lt;('2. Inputs and results'!$B$21+1),Q32+P33," ")</f>
        <v xml:space="preserve"> </v>
      </c>
      <c r="R33" s="4" t="e">
        <f>IF(A33&lt;('2. Inputs and results'!$B$21+1),R32+G33+I33+H33+J33+T33-$V$6,NA())</f>
        <v>#N/A</v>
      </c>
      <c r="S33" s="4" t="str">
        <f>IF(A33&lt;('2. Inputs and results'!$B$21+1),'2. Inputs and results'!$B$79*(R32)," ")</f>
        <v xml:space="preserve"> </v>
      </c>
      <c r="T33" s="4">
        <f t="shared" si="1"/>
        <v>0</v>
      </c>
      <c r="U33" s="4" t="e">
        <f>IF(A33&lt;('2. Inputs and results'!$B$21+1),U32+(T33+I33+G33+H33+J33-$V$6)/((1+$P$2)^A33),NA())</f>
        <v>#N/A</v>
      </c>
      <c r="V33" s="4" t="str">
        <f>IF(A33&lt;('2. Inputs and results'!$B$21+1),V32+('2. Inputs and results'!$B$75*'2. Inputs and results'!$B$73)," ")</f>
        <v xml:space="preserve"> </v>
      </c>
      <c r="W33" s="4" t="e">
        <f>IF(A33&lt;('2. Inputs and results'!$B$21+1),W32+C33+Y33-$V$6,NA())</f>
        <v>#N/A</v>
      </c>
      <c r="X33" s="4" t="str">
        <f>IF(A33&lt;('2. Inputs and results'!$B$21+1),'2. Inputs and results'!$B$79*W32," ")</f>
        <v xml:space="preserve"> </v>
      </c>
      <c r="Y33" s="4">
        <f t="shared" si="2"/>
        <v>0</v>
      </c>
      <c r="Z33" s="4" t="e">
        <f>IF(A33&lt;('2. Inputs and results'!$B$21+1),Z32+(C33-$V$6+Y33)/((1+$P$2)^A33),NA())</f>
        <v>#N/A</v>
      </c>
      <c r="AA33" s="4" t="str">
        <f>IF(A33&lt;('2. Inputs and results'!$B$21+1),AA32+(G33+I33+H33+T33-$V$6)," ")</f>
        <v xml:space="preserve"> </v>
      </c>
      <c r="AB33" s="20" t="e">
        <f>IF(A33&lt;('2. Inputs and results'!$B$21+1),AA33/L33,NA())</f>
        <v>#N/A</v>
      </c>
      <c r="AC33" s="29" t="str">
        <f>IF(A33&lt;('2. Inputs and results'!$B$21+1),AC32+(C33+Y33-$V$6)," ")</f>
        <v xml:space="preserve"> </v>
      </c>
      <c r="AD33" s="20" t="e">
        <f>IF(A33&lt;('2. Inputs and results'!$B$21+1),AC33/L33,NA())</f>
        <v>#N/A</v>
      </c>
      <c r="AE33" t="str">
        <f>IF(A33&lt;('2. Inputs and results'!$B$21+1),-'2. Inputs and results'!$B$121*A33," ")</f>
        <v xml:space="preserve"> </v>
      </c>
      <c r="AF33" t="e">
        <f>IF(A33&lt;('2. Inputs and results'!$B$21+1),AE33/1000,NA())</f>
        <v>#N/A</v>
      </c>
    </row>
    <row r="34" spans="1:32" x14ac:dyDescent="0.25">
      <c r="A34">
        <f t="shared" si="0"/>
        <v>29</v>
      </c>
      <c r="B34" t="str">
        <f>IF(A34&lt;('2. Inputs and results'!$B$21+1),A34," ")</f>
        <v xml:space="preserve"> </v>
      </c>
      <c r="C34" s="4" t="str">
        <f>IF(A34&lt;('2. Inputs and results'!$B$21+1),'2. Inputs and results'!$B$99+'2. Inputs and results'!$B$101," ")</f>
        <v xml:space="preserve"> </v>
      </c>
      <c r="D34" s="4" t="e">
        <f>IF(A34&lt;('2. Inputs and results'!$B$21+1),D33+C34,NA())</f>
        <v>#N/A</v>
      </c>
      <c r="E34" s="4" t="str">
        <f>IF(B34&lt;('2. Inputs and results'!$B$21+1),C34/((1+$P$2)^A34)," ")</f>
        <v xml:space="preserve"> </v>
      </c>
      <c r="F34" s="4" t="str">
        <f>IF(A34&lt;('2. Inputs and results'!$B$21+1),F33+E34," ")</f>
        <v xml:space="preserve"> </v>
      </c>
      <c r="G34" s="4" t="str">
        <f>IF(A34&lt;('2. Inputs and results'!$B$21+1),G33*(1+'2. Inputs and results'!$B$46)," ")</f>
        <v xml:space="preserve"> </v>
      </c>
      <c r="H34" s="4" t="str">
        <f>IF(A34&lt;('2. Inputs and results'!$B$21+1),H33*(1+'2. Inputs and results'!$B$58)," ")</f>
        <v xml:space="preserve"> </v>
      </c>
      <c r="I34" s="4" t="str">
        <f>IF(A34&lt;('2. Inputs and results'!$B$21+1),I33*(1+'2. Inputs and results'!$B$34)," ")</f>
        <v xml:space="preserve"> </v>
      </c>
      <c r="J34" s="4" t="str">
        <f>IF(A34&lt;('2. Inputs and results'!$B$21+1),J33*(1+'2. Inputs and results'!$B$68)," ")</f>
        <v xml:space="preserve"> </v>
      </c>
      <c r="K34" s="4" t="e">
        <f>IF('Solution 1, (hidden) (2)'!A34&lt;('2. Inputs and results'!$B$21+1),K33+(G34+I34+H34+J34),NA())</f>
        <v>#N/A</v>
      </c>
      <c r="L34" s="4" t="e">
        <f>IF(A34&lt;('2. Inputs and results'!$B$21+1),L33,NA())</f>
        <v>#N/A</v>
      </c>
      <c r="M34" s="4" t="str">
        <f>IF(A34&lt;('2. Inputs and results'!$B$21+1),'2. Inputs and results'!$B$75*'2. Inputs and results'!$B$73," ")</f>
        <v xml:space="preserve"> </v>
      </c>
      <c r="N34" s="4" t="str">
        <f>IF(A34&lt;('2. Inputs and results'!$B$21+1),M34/((1+$P$2)^A34)," ")</f>
        <v xml:space="preserve"> </v>
      </c>
      <c r="O34" s="4" t="str">
        <f>IF(A34&lt;('2. Inputs and results'!$B$21+1),'2. Inputs and results'!$B$73*'2. Inputs and results'!$B$75+O33," ")</f>
        <v xml:space="preserve"> </v>
      </c>
      <c r="P34" s="4" t="str">
        <f>IF(A34&lt;('2. Inputs and results'!$B$21+1),(G34+I34+H34+J34)/((1+$P$2)^A34)," ")</f>
        <v xml:space="preserve"> </v>
      </c>
      <c r="Q34" s="4" t="str">
        <f>IF(A34&lt;('2. Inputs and results'!$B$21+1),Q33+P34," ")</f>
        <v xml:space="preserve"> </v>
      </c>
      <c r="R34" s="4" t="e">
        <f>IF(A34&lt;('2. Inputs and results'!$B$21+1),R33+G34+I34+H34+J34+T34-$V$6,NA())</f>
        <v>#N/A</v>
      </c>
      <c r="S34" s="4" t="str">
        <f>IF(A34&lt;('2. Inputs and results'!$B$21+1),'2. Inputs and results'!$B$79*(R33)," ")</f>
        <v xml:space="preserve"> </v>
      </c>
      <c r="T34" s="4">
        <f t="shared" si="1"/>
        <v>0</v>
      </c>
      <c r="U34" s="4" t="e">
        <f>IF(A34&lt;('2. Inputs and results'!$B$21+1),U33+(T34+I34+G34+H34+J34-$V$6)/((1+$P$2)^A34),NA())</f>
        <v>#N/A</v>
      </c>
      <c r="V34" s="4" t="str">
        <f>IF(A34&lt;('2. Inputs and results'!$B$21+1),V33+('2. Inputs and results'!$B$75*'2. Inputs and results'!$B$73)," ")</f>
        <v xml:space="preserve"> </v>
      </c>
      <c r="W34" s="4" t="e">
        <f>IF(A34&lt;('2. Inputs and results'!$B$21+1),W33+C34+Y34-$V$6,NA())</f>
        <v>#N/A</v>
      </c>
      <c r="X34" s="4" t="str">
        <f>IF(A34&lt;('2. Inputs and results'!$B$21+1),'2. Inputs and results'!$B$79*W33," ")</f>
        <v xml:space="preserve"> </v>
      </c>
      <c r="Y34" s="4">
        <f t="shared" si="2"/>
        <v>0</v>
      </c>
      <c r="Z34" s="4" t="e">
        <f>IF(A34&lt;('2. Inputs and results'!$B$21+1),Z33+(C34-$V$6+Y34)/((1+$P$2)^A34),NA())</f>
        <v>#N/A</v>
      </c>
      <c r="AA34" s="4" t="str">
        <f>IF(A34&lt;('2. Inputs and results'!$B$21+1),AA33+(G34+I34+H34+T34-$V$6)," ")</f>
        <v xml:space="preserve"> </v>
      </c>
      <c r="AB34" s="20" t="e">
        <f>IF(A34&lt;('2. Inputs and results'!$B$21+1),AA34/L34,NA())</f>
        <v>#N/A</v>
      </c>
      <c r="AC34" s="29" t="str">
        <f>IF(A34&lt;('2. Inputs and results'!$B$21+1),AC33+(C34+Y34-$V$6)," ")</f>
        <v xml:space="preserve"> </v>
      </c>
      <c r="AD34" s="20" t="e">
        <f>IF(A34&lt;('2. Inputs and results'!$B$21+1),AC34/L34,NA())</f>
        <v>#N/A</v>
      </c>
      <c r="AE34" t="str">
        <f>IF(A34&lt;('2. Inputs and results'!$B$21+1),-'2. Inputs and results'!$B$121*A34," ")</f>
        <v xml:space="preserve"> </v>
      </c>
      <c r="AF34" t="e">
        <f>IF(A34&lt;('2. Inputs and results'!$B$21+1),AE34/1000,NA())</f>
        <v>#N/A</v>
      </c>
    </row>
    <row r="35" spans="1:32" x14ac:dyDescent="0.25">
      <c r="A35">
        <f t="shared" si="0"/>
        <v>30</v>
      </c>
      <c r="B35" t="str">
        <f>IF(A35&lt;('2. Inputs and results'!$B$21+1),A35," ")</f>
        <v xml:space="preserve"> </v>
      </c>
      <c r="C35" s="4" t="str">
        <f>IF(A35&lt;('2. Inputs and results'!$B$21+1),'2. Inputs and results'!$B$99+'2. Inputs and results'!$B$101," ")</f>
        <v xml:space="preserve"> </v>
      </c>
      <c r="D35" s="4" t="e">
        <f>IF(A35&lt;('2. Inputs and results'!$B$21+1),D34+C35,NA())</f>
        <v>#N/A</v>
      </c>
      <c r="E35" s="4" t="str">
        <f>IF(B35&lt;('2. Inputs and results'!$B$21+1),C35/((1+$P$2)^A35)," ")</f>
        <v xml:space="preserve"> </v>
      </c>
      <c r="F35" s="4" t="str">
        <f>IF(A35&lt;('2. Inputs and results'!$B$21+1),F34+E35," ")</f>
        <v xml:space="preserve"> </v>
      </c>
      <c r="G35" s="4" t="str">
        <f>IF(A35&lt;('2. Inputs and results'!$B$21+1),G34*(1+'2. Inputs and results'!$B$46)," ")</f>
        <v xml:space="preserve"> </v>
      </c>
      <c r="H35" s="4" t="str">
        <f>IF(A35&lt;('2. Inputs and results'!$B$21+1),H34*(1+'2. Inputs and results'!$B$58)," ")</f>
        <v xml:space="preserve"> </v>
      </c>
      <c r="I35" s="4" t="str">
        <f>IF(A35&lt;('2. Inputs and results'!$B$21+1),I34*(1+'2. Inputs and results'!$B$34)," ")</f>
        <v xml:space="preserve"> </v>
      </c>
      <c r="J35" s="4" t="str">
        <f>IF(A35&lt;('2. Inputs and results'!$B$21+1),J34*(1+'2. Inputs and results'!$B$68)," ")</f>
        <v xml:space="preserve"> </v>
      </c>
      <c r="K35" s="4" t="e">
        <f>IF('Solution 1, (hidden) (2)'!A35&lt;('2. Inputs and results'!$B$21+1),K34+(G35+I35+H35+J35),NA())</f>
        <v>#N/A</v>
      </c>
      <c r="L35" s="4" t="e">
        <f>IF(A35&lt;('2. Inputs and results'!$B$21+1),L34,NA())</f>
        <v>#N/A</v>
      </c>
      <c r="M35" s="4" t="str">
        <f>IF(A35&lt;('2. Inputs and results'!$B$21+1),'2. Inputs and results'!$B$75*'2. Inputs and results'!$B$73," ")</f>
        <v xml:space="preserve"> </v>
      </c>
      <c r="N35" s="4" t="str">
        <f>IF(A35&lt;('2. Inputs and results'!$B$21+1),M35/((1+$P$2)^A35)," ")</f>
        <v xml:space="preserve"> </v>
      </c>
      <c r="O35" s="4" t="str">
        <f>IF(A35&lt;('2. Inputs and results'!$B$21+1),'2. Inputs and results'!$B$73*'2. Inputs and results'!$B$75+O34," ")</f>
        <v xml:space="preserve"> </v>
      </c>
      <c r="P35" s="4" t="str">
        <f>IF(A35&lt;('2. Inputs and results'!$B$21+1),(G35+I35+H35+J35)/((1+$P$2)^A35)," ")</f>
        <v xml:space="preserve"> </v>
      </c>
      <c r="Q35" s="4" t="str">
        <f>IF(A35&lt;('2. Inputs and results'!$B$21+1),Q34+P35," ")</f>
        <v xml:space="preserve"> </v>
      </c>
      <c r="R35" s="4" t="e">
        <f>IF(A35&lt;('2. Inputs and results'!$B$21+1),R34+G35+I35+H35+J35+T35-$V$6,NA())</f>
        <v>#N/A</v>
      </c>
      <c r="S35" s="4" t="str">
        <f>IF(A35&lt;('2. Inputs and results'!$B$21+1),'2. Inputs and results'!$B$79*(R34)," ")</f>
        <v xml:space="preserve"> </v>
      </c>
      <c r="T35" s="4">
        <f t="shared" si="1"/>
        <v>0</v>
      </c>
      <c r="U35" s="4" t="e">
        <f>IF(A35&lt;('2. Inputs and results'!$B$21+1),U34+(T35+I35+G35+H35+J35-$V$6)/((1+$P$2)^A35),NA())</f>
        <v>#N/A</v>
      </c>
      <c r="V35" s="4" t="str">
        <f>IF(A35&lt;('2. Inputs and results'!$B$21+1),V34+('2. Inputs and results'!$B$75*'2. Inputs and results'!$B$73)," ")</f>
        <v xml:space="preserve"> </v>
      </c>
      <c r="W35" s="4" t="e">
        <f>IF(A35&lt;('2. Inputs and results'!$B$21+1),W34+C35+Y35-$V$6,NA())</f>
        <v>#N/A</v>
      </c>
      <c r="X35" s="4" t="str">
        <f>IF(A35&lt;('2. Inputs and results'!$B$21+1),'2. Inputs and results'!$B$79*W34," ")</f>
        <v xml:space="preserve"> </v>
      </c>
      <c r="Y35" s="4">
        <f t="shared" si="2"/>
        <v>0</v>
      </c>
      <c r="Z35" s="4" t="e">
        <f>IF(A35&lt;('2. Inputs and results'!$B$21+1),Z34+(C35-$V$6+Y35)/((1+$P$2)^A35),NA())</f>
        <v>#N/A</v>
      </c>
      <c r="AA35" s="4" t="str">
        <f>IF(A35&lt;('2. Inputs and results'!$B$21+1),AA34+(G35+I35+H35+T35-$V$6)," ")</f>
        <v xml:space="preserve"> </v>
      </c>
      <c r="AB35" s="20" t="e">
        <f>IF(A35&lt;('2. Inputs and results'!$B$21+1),AA35/L35,NA())</f>
        <v>#N/A</v>
      </c>
      <c r="AC35" s="29" t="str">
        <f>IF(A35&lt;('2. Inputs and results'!$B$21+1),AC34+(C35+Y35-$V$6)," ")</f>
        <v xml:space="preserve"> </v>
      </c>
      <c r="AD35" s="20" t="e">
        <f>IF(A35&lt;('2. Inputs and results'!$B$21+1),AC35/L35,NA())</f>
        <v>#N/A</v>
      </c>
      <c r="AE35" t="str">
        <f>IF(A35&lt;('2. Inputs and results'!$B$21+1),-'2. Inputs and results'!$B$121*A35," ")</f>
        <v xml:space="preserve"> </v>
      </c>
      <c r="AF35" t="e">
        <f>IF(A35&lt;('2. Inputs and results'!$B$21+1),AE35/1000,NA())</f>
        <v>#N/A</v>
      </c>
    </row>
    <row r="36" spans="1:32" x14ac:dyDescent="0.25">
      <c r="A36">
        <f t="shared" si="0"/>
        <v>31</v>
      </c>
      <c r="B36" t="str">
        <f>IF(A36&lt;('2. Inputs and results'!$B$21+1),A36," ")</f>
        <v xml:space="preserve"> </v>
      </c>
      <c r="C36" s="4" t="str">
        <f>IF(A36&lt;('2. Inputs and results'!$B$21+1),'2. Inputs and results'!$B$99+'2. Inputs and results'!$B$101," ")</f>
        <v xml:space="preserve"> </v>
      </c>
      <c r="D36" s="4" t="e">
        <f>IF(A36&lt;('2. Inputs and results'!$B$21+1),D35+C36,NA())</f>
        <v>#N/A</v>
      </c>
      <c r="E36" s="4" t="str">
        <f>IF(B36&lt;('2. Inputs and results'!$B$21+1),C36/((1+$P$2)^A36)," ")</f>
        <v xml:space="preserve"> </v>
      </c>
      <c r="F36" s="4" t="str">
        <f>IF(A36&lt;('2. Inputs and results'!$B$21+1),F35+E36," ")</f>
        <v xml:space="preserve"> </v>
      </c>
      <c r="G36" s="4" t="str">
        <f>IF(A36&lt;('2. Inputs and results'!$B$21+1),G35*(1+'2. Inputs and results'!$B$46)," ")</f>
        <v xml:space="preserve"> </v>
      </c>
      <c r="H36" s="4" t="str">
        <f>IF(A36&lt;('2. Inputs and results'!$B$21+1),H35*(1+'2. Inputs and results'!$B$58)," ")</f>
        <v xml:space="preserve"> </v>
      </c>
      <c r="I36" s="4" t="str">
        <f>IF(A36&lt;('2. Inputs and results'!$B$21+1),I35*(1+'2. Inputs and results'!$B$34)," ")</f>
        <v xml:space="preserve"> </v>
      </c>
      <c r="J36" s="4" t="str">
        <f>IF(A36&lt;('2. Inputs and results'!$B$21+1),J35*(1+'2. Inputs and results'!$B$68)," ")</f>
        <v xml:space="preserve"> </v>
      </c>
      <c r="K36" s="4" t="e">
        <f>IF('Solution 1, (hidden) (2)'!A36&lt;('2. Inputs and results'!$B$21+1),K35+(G36+I36+H36+J36),NA())</f>
        <v>#N/A</v>
      </c>
      <c r="L36" s="4" t="e">
        <f>IF(A36&lt;('2. Inputs and results'!$B$21+1),L35,NA())</f>
        <v>#N/A</v>
      </c>
      <c r="M36" s="4" t="str">
        <f>IF(A36&lt;('2. Inputs and results'!$B$21+1),'2. Inputs and results'!$B$75*'2. Inputs and results'!$B$73," ")</f>
        <v xml:space="preserve"> </v>
      </c>
      <c r="N36" s="4" t="str">
        <f>IF(A36&lt;('2. Inputs and results'!$B$21+1),M36/((1+$P$2)^A36)," ")</f>
        <v xml:space="preserve"> </v>
      </c>
      <c r="O36" s="4" t="str">
        <f>IF(A36&lt;('2. Inputs and results'!$B$21+1),'2. Inputs and results'!$B$73*'2. Inputs and results'!$B$75+O35," ")</f>
        <v xml:space="preserve"> </v>
      </c>
      <c r="P36" s="4" t="str">
        <f>IF(A36&lt;('2. Inputs and results'!$B$21+1),(G36+I36+H36+J36)/((1+$P$2)^A36)," ")</f>
        <v xml:space="preserve"> </v>
      </c>
      <c r="Q36" s="4" t="str">
        <f>IF(A36&lt;('2. Inputs and results'!$B$21+1),Q35+P36," ")</f>
        <v xml:space="preserve"> </v>
      </c>
      <c r="R36" s="4" t="e">
        <f>IF(A36&lt;('2. Inputs and results'!$B$21+1),R35+G36+I36+H36+J36+T36-$V$6,NA())</f>
        <v>#N/A</v>
      </c>
      <c r="S36" s="4" t="str">
        <f>IF(A36&lt;('2. Inputs and results'!$B$21+1),'2. Inputs and results'!$B$79*(R35)," ")</f>
        <v xml:space="preserve"> </v>
      </c>
      <c r="T36" s="4">
        <f t="shared" si="1"/>
        <v>0</v>
      </c>
      <c r="U36" s="4" t="e">
        <f>IF(A36&lt;('2. Inputs and results'!$B$21+1),U35+(T36+I36+G36+H36+J36-$V$6)/((1+$P$2)^A36),NA())</f>
        <v>#N/A</v>
      </c>
      <c r="V36" s="4" t="str">
        <f>IF(A36&lt;('2. Inputs and results'!$B$21+1),V35+('2. Inputs and results'!$B$75*'2. Inputs and results'!$B$73)," ")</f>
        <v xml:space="preserve"> </v>
      </c>
      <c r="W36" s="4" t="e">
        <f>IF(A36&lt;('2. Inputs and results'!$B$21+1),W35+C36+Y36-$V$6,NA())</f>
        <v>#N/A</v>
      </c>
      <c r="X36" s="4" t="str">
        <f>IF(A36&lt;('2. Inputs and results'!$B$21+1),'2. Inputs and results'!$B$79*W35," ")</f>
        <v xml:space="preserve"> </v>
      </c>
      <c r="Y36" s="4">
        <f t="shared" si="2"/>
        <v>0</v>
      </c>
      <c r="Z36" s="4" t="e">
        <f>IF(A36&lt;('2. Inputs and results'!$B$21+1),Z35+(C36-$V$6+Y36)/((1+$P$2)^A36),NA())</f>
        <v>#N/A</v>
      </c>
      <c r="AA36" s="4" t="str">
        <f>IF(A36&lt;('2. Inputs and results'!$B$21+1),AA35+(G36+I36+H36+T36-$V$6)," ")</f>
        <v xml:space="preserve"> </v>
      </c>
      <c r="AB36" s="20" t="e">
        <f>IF(A36&lt;('2. Inputs and results'!$B$21+1),AA36/L36,NA())</f>
        <v>#N/A</v>
      </c>
      <c r="AC36" s="29" t="str">
        <f>IF(A36&lt;('2. Inputs and results'!$B$21+1),AC35+(C36+Y36-$V$6)," ")</f>
        <v xml:space="preserve"> </v>
      </c>
      <c r="AD36" s="20" t="e">
        <f>IF(A36&lt;('2. Inputs and results'!$B$21+1),AC36/L36,NA())</f>
        <v>#N/A</v>
      </c>
      <c r="AE36" t="str">
        <f>IF(A36&lt;('2. Inputs and results'!$B$21+1),-'2. Inputs and results'!$B$121*A36," ")</f>
        <v xml:space="preserve"> </v>
      </c>
      <c r="AF36" t="e">
        <f>IF(A36&lt;('2. Inputs and results'!$B$21+1),AE36/1000,NA())</f>
        <v>#N/A</v>
      </c>
    </row>
    <row r="37" spans="1:32" x14ac:dyDescent="0.25">
      <c r="A37">
        <f t="shared" si="0"/>
        <v>32</v>
      </c>
      <c r="B37" t="str">
        <f>IF(A37&lt;('2. Inputs and results'!$B$21+1),A37," ")</f>
        <v xml:space="preserve"> </v>
      </c>
      <c r="C37" s="4" t="str">
        <f>IF(A37&lt;('2. Inputs and results'!$B$21+1),'2. Inputs and results'!$B$99+'2. Inputs and results'!$B$101," ")</f>
        <v xml:space="preserve"> </v>
      </c>
      <c r="D37" s="4" t="e">
        <f>IF(A37&lt;('2. Inputs and results'!$B$21+1),D36+C37,NA())</f>
        <v>#N/A</v>
      </c>
      <c r="E37" s="4" t="str">
        <f>IF(B37&lt;('2. Inputs and results'!$B$21+1),C37/((1+$P$2)^A37)," ")</f>
        <v xml:space="preserve"> </v>
      </c>
      <c r="F37" s="4" t="str">
        <f>IF(A37&lt;('2. Inputs and results'!$B$21+1),F36+E37," ")</f>
        <v xml:space="preserve"> </v>
      </c>
      <c r="G37" s="4" t="str">
        <f>IF(A37&lt;('2. Inputs and results'!$B$21+1),G36*(1+'2. Inputs and results'!$B$46)," ")</f>
        <v xml:space="preserve"> </v>
      </c>
      <c r="H37" s="4" t="str">
        <f>IF(A37&lt;('2. Inputs and results'!$B$21+1),H36*(1+'2. Inputs and results'!$B$58)," ")</f>
        <v xml:space="preserve"> </v>
      </c>
      <c r="I37" s="4" t="str">
        <f>IF(A37&lt;('2. Inputs and results'!$B$21+1),I36*(1+'2. Inputs and results'!$B$34)," ")</f>
        <v xml:space="preserve"> </v>
      </c>
      <c r="J37" s="4" t="str">
        <f>IF(A37&lt;('2. Inputs and results'!$B$21+1),J36*(1+'2. Inputs and results'!$B$68)," ")</f>
        <v xml:space="preserve"> </v>
      </c>
      <c r="K37" s="4" t="e">
        <f>IF('Solution 1, (hidden) (2)'!A37&lt;('2. Inputs and results'!$B$21+1),K36+(G37+I37+H37+J37),NA())</f>
        <v>#N/A</v>
      </c>
      <c r="L37" s="4" t="e">
        <f>IF(A37&lt;('2. Inputs and results'!$B$21+1),L36,NA())</f>
        <v>#N/A</v>
      </c>
      <c r="M37" s="4" t="str">
        <f>IF(A37&lt;('2. Inputs and results'!$B$21+1),'2. Inputs and results'!$B$75*'2. Inputs and results'!$B$73," ")</f>
        <v xml:space="preserve"> </v>
      </c>
      <c r="N37" s="4" t="str">
        <f>IF(A37&lt;('2. Inputs and results'!$B$21+1),M37/((1+$P$2)^A37)," ")</f>
        <v xml:space="preserve"> </v>
      </c>
      <c r="O37" s="4" t="str">
        <f>IF(A37&lt;('2. Inputs and results'!$B$21+1),'2. Inputs and results'!$B$73*'2. Inputs and results'!$B$75+O36," ")</f>
        <v xml:space="preserve"> </v>
      </c>
      <c r="P37" s="4" t="str">
        <f>IF(A37&lt;('2. Inputs and results'!$B$21+1),(G37+I37+H37+J37)/((1+$P$2)^A37)," ")</f>
        <v xml:space="preserve"> </v>
      </c>
      <c r="Q37" s="4" t="str">
        <f>IF(A37&lt;('2. Inputs and results'!$B$21+1),Q36+P37," ")</f>
        <v xml:space="preserve"> </v>
      </c>
      <c r="R37" s="4" t="e">
        <f>IF(A37&lt;('2. Inputs and results'!$B$21+1),R36+G37+I37+H37+J37+T37-$V$6,NA())</f>
        <v>#N/A</v>
      </c>
      <c r="S37" s="4" t="str">
        <f>IF(A37&lt;('2. Inputs and results'!$B$21+1),'2. Inputs and results'!$B$79*(R36)," ")</f>
        <v xml:space="preserve"> </v>
      </c>
      <c r="T37" s="4">
        <f t="shared" si="1"/>
        <v>0</v>
      </c>
      <c r="U37" s="4" t="e">
        <f>IF(A37&lt;('2. Inputs and results'!$B$21+1),U36+(T37+I37+G37+H37+J37-$V$6)/((1+$P$2)^A37),NA())</f>
        <v>#N/A</v>
      </c>
      <c r="V37" s="4" t="str">
        <f>IF(A37&lt;('2. Inputs and results'!$B$21+1),V36+('2. Inputs and results'!$B$75*'2. Inputs and results'!$B$73)," ")</f>
        <v xml:space="preserve"> </v>
      </c>
      <c r="W37" s="4" t="e">
        <f>IF(A37&lt;('2. Inputs and results'!$B$21+1),W36+C37+Y37-$V$6,NA())</f>
        <v>#N/A</v>
      </c>
      <c r="X37" s="4" t="str">
        <f>IF(A37&lt;('2. Inputs and results'!$B$21+1),'2. Inputs and results'!$B$79*W36," ")</f>
        <v xml:space="preserve"> </v>
      </c>
      <c r="Y37" s="4">
        <f t="shared" si="2"/>
        <v>0</v>
      </c>
      <c r="Z37" s="4" t="e">
        <f>IF(A37&lt;('2. Inputs and results'!$B$21+1),Z36+(C37-$V$6+Y37)/((1+$P$2)^A37),NA())</f>
        <v>#N/A</v>
      </c>
      <c r="AA37" s="4" t="str">
        <f>IF(A37&lt;('2. Inputs and results'!$B$21+1),AA36+(G37+I37+H37+T37-$V$6)," ")</f>
        <v xml:space="preserve"> </v>
      </c>
      <c r="AB37" s="20" t="e">
        <f>IF(A37&lt;('2. Inputs and results'!$B$21+1),AA37/L37,NA())</f>
        <v>#N/A</v>
      </c>
      <c r="AC37" s="29" t="str">
        <f>IF(A37&lt;('2. Inputs and results'!$B$21+1),AC36+(C37+Y37-$V$6)," ")</f>
        <v xml:space="preserve"> </v>
      </c>
      <c r="AD37" s="20" t="e">
        <f>IF(A37&lt;('2. Inputs and results'!$B$21+1),AC37/L37,NA())</f>
        <v>#N/A</v>
      </c>
      <c r="AE37" t="str">
        <f>IF(A37&lt;('2. Inputs and results'!$B$21+1),-'2. Inputs and results'!$B$121*A37," ")</f>
        <v xml:space="preserve"> </v>
      </c>
      <c r="AF37" t="e">
        <f>IF(A37&lt;('2. Inputs and results'!$B$21+1),AE37/1000,NA())</f>
        <v>#N/A</v>
      </c>
    </row>
    <row r="38" spans="1:32" x14ac:dyDescent="0.25">
      <c r="A38">
        <f t="shared" si="0"/>
        <v>33</v>
      </c>
      <c r="B38" t="str">
        <f>IF(A38&lt;('2. Inputs and results'!$B$21+1),A38," ")</f>
        <v xml:space="preserve"> </v>
      </c>
      <c r="C38" s="4" t="str">
        <f>IF(A38&lt;('2. Inputs and results'!$B$21+1),'2. Inputs and results'!$B$99+'2. Inputs and results'!$B$101," ")</f>
        <v xml:space="preserve"> </v>
      </c>
      <c r="D38" s="4" t="e">
        <f>IF(A38&lt;('2. Inputs and results'!$B$21+1),D37+C38,NA())</f>
        <v>#N/A</v>
      </c>
      <c r="E38" s="4" t="str">
        <f>IF(B38&lt;('2. Inputs and results'!$B$21+1),C38/((1+$P$2)^A38)," ")</f>
        <v xml:space="preserve"> </v>
      </c>
      <c r="F38" s="4" t="str">
        <f>IF(A38&lt;('2. Inputs and results'!$B$21+1),F37+E38," ")</f>
        <v xml:space="preserve"> </v>
      </c>
      <c r="G38" s="4" t="str">
        <f>IF(A38&lt;('2. Inputs and results'!$B$21+1),G37*(1+'2. Inputs and results'!$B$46)," ")</f>
        <v xml:space="preserve"> </v>
      </c>
      <c r="H38" s="4" t="str">
        <f>IF(A38&lt;('2. Inputs and results'!$B$21+1),H37*(1+'2. Inputs and results'!$B$58)," ")</f>
        <v xml:space="preserve"> </v>
      </c>
      <c r="I38" s="4" t="str">
        <f>IF(A38&lt;('2. Inputs and results'!$B$21+1),I37*(1+'2. Inputs and results'!$B$34)," ")</f>
        <v xml:space="preserve"> </v>
      </c>
      <c r="J38" s="4" t="str">
        <f>IF(A38&lt;('2. Inputs and results'!$B$21+1),J37*(1+'2. Inputs and results'!$B$68)," ")</f>
        <v xml:space="preserve"> </v>
      </c>
      <c r="K38" s="4" t="e">
        <f>IF('Solution 1, (hidden) (2)'!A38&lt;('2. Inputs and results'!$B$21+1),K37+(G38+I38+H38+J38),NA())</f>
        <v>#N/A</v>
      </c>
      <c r="L38" s="4" t="e">
        <f>IF(A38&lt;('2. Inputs and results'!$B$21+1),L37,NA())</f>
        <v>#N/A</v>
      </c>
      <c r="M38" s="4" t="str">
        <f>IF(A38&lt;('2. Inputs and results'!$B$21+1),'2. Inputs and results'!$B$75*'2. Inputs and results'!$B$73," ")</f>
        <v xml:space="preserve"> </v>
      </c>
      <c r="N38" s="4" t="str">
        <f>IF(A38&lt;('2. Inputs and results'!$B$21+1),M38/((1+$P$2)^A38)," ")</f>
        <v xml:space="preserve"> </v>
      </c>
      <c r="O38" s="4" t="str">
        <f>IF(A38&lt;('2. Inputs and results'!$B$21+1),'2. Inputs and results'!$B$73*'2. Inputs and results'!$B$75+O37," ")</f>
        <v xml:space="preserve"> </v>
      </c>
      <c r="P38" s="4" t="str">
        <f>IF(A38&lt;('2. Inputs and results'!$B$21+1),(G38+I38+H38+J38)/((1+$P$2)^A38)," ")</f>
        <v xml:space="preserve"> </v>
      </c>
      <c r="Q38" s="4" t="str">
        <f>IF(A38&lt;('2. Inputs and results'!$B$21+1),Q37+P38," ")</f>
        <v xml:space="preserve"> </v>
      </c>
      <c r="R38" s="4" t="e">
        <f>IF(A38&lt;('2. Inputs and results'!$B$21+1),R37+G38+I38+H38+J38+T38-$V$6,NA())</f>
        <v>#N/A</v>
      </c>
      <c r="S38" s="4" t="str">
        <f>IF(A38&lt;('2. Inputs and results'!$B$21+1),'2. Inputs and results'!$B$79*(R37)," ")</f>
        <v xml:space="preserve"> </v>
      </c>
      <c r="T38" s="4">
        <f t="shared" si="1"/>
        <v>0</v>
      </c>
      <c r="U38" s="4" t="e">
        <f>IF(A38&lt;('2. Inputs and results'!$B$21+1),U37+(T38+I38+G38+H38+J38-$V$6)/((1+$P$2)^A38),NA())</f>
        <v>#N/A</v>
      </c>
      <c r="V38" s="4" t="str">
        <f>IF(A38&lt;('2. Inputs and results'!$B$21+1),V37+('2. Inputs and results'!$B$75*'2. Inputs and results'!$B$73)," ")</f>
        <v xml:space="preserve"> </v>
      </c>
      <c r="W38" s="4" t="e">
        <f>IF(A38&lt;('2. Inputs and results'!$B$21+1),W37+C38+Y38-$V$6,NA())</f>
        <v>#N/A</v>
      </c>
      <c r="X38" s="4" t="str">
        <f>IF(A38&lt;('2. Inputs and results'!$B$21+1),'2. Inputs and results'!$B$79*W37," ")</f>
        <v xml:space="preserve"> </v>
      </c>
      <c r="Y38" s="4">
        <f t="shared" si="2"/>
        <v>0</v>
      </c>
      <c r="Z38" s="4" t="e">
        <f>IF(A38&lt;('2. Inputs and results'!$B$21+1),Z37+(C38-$V$6+Y38)/((1+$P$2)^A38),NA())</f>
        <v>#N/A</v>
      </c>
      <c r="AA38" s="4" t="str">
        <f>IF(A38&lt;('2. Inputs and results'!$B$21+1),AA37+(G38+I38+H38+T38-$V$6)," ")</f>
        <v xml:space="preserve"> </v>
      </c>
      <c r="AB38" s="20" t="e">
        <f>IF(A38&lt;('2. Inputs and results'!$B$21+1),AA38/L38,NA())</f>
        <v>#N/A</v>
      </c>
      <c r="AC38" s="29" t="str">
        <f>IF(A38&lt;('2. Inputs and results'!$B$21+1),AC37+(C38+Y38-$V$6)," ")</f>
        <v xml:space="preserve"> </v>
      </c>
      <c r="AD38" s="20" t="e">
        <f>IF(A38&lt;('2. Inputs and results'!$B$21+1),AC38/L38,NA())</f>
        <v>#N/A</v>
      </c>
      <c r="AE38" t="str">
        <f>IF(A38&lt;('2. Inputs and results'!$B$21+1),-'2. Inputs and results'!$B$121*A38," ")</f>
        <v xml:space="preserve"> </v>
      </c>
      <c r="AF38" t="e">
        <f>IF(A38&lt;('2. Inputs and results'!$B$21+1),AE38/1000,NA())</f>
        <v>#N/A</v>
      </c>
    </row>
    <row r="39" spans="1:32" x14ac:dyDescent="0.25">
      <c r="A39">
        <f t="shared" si="0"/>
        <v>34</v>
      </c>
      <c r="B39" t="str">
        <f>IF(A39&lt;('2. Inputs and results'!$B$21+1),A39," ")</f>
        <v xml:space="preserve"> </v>
      </c>
      <c r="C39" s="4" t="str">
        <f>IF(A39&lt;('2. Inputs and results'!$B$21+1),'2. Inputs and results'!$B$99+'2. Inputs and results'!$B$101," ")</f>
        <v xml:space="preserve"> </v>
      </c>
      <c r="D39" s="4" t="e">
        <f>IF(A39&lt;('2. Inputs and results'!$B$21+1),D38+C39,NA())</f>
        <v>#N/A</v>
      </c>
      <c r="E39" s="4" t="str">
        <f>IF(B39&lt;('2. Inputs and results'!$B$21+1),C39/((1+$P$2)^A39)," ")</f>
        <v xml:space="preserve"> </v>
      </c>
      <c r="F39" s="4" t="str">
        <f>IF(A39&lt;('2. Inputs and results'!$B$21+1),F38+E39," ")</f>
        <v xml:space="preserve"> </v>
      </c>
      <c r="G39" s="4" t="str">
        <f>IF(A39&lt;('2. Inputs and results'!$B$21+1),G38*(1+'2. Inputs and results'!$B$46)," ")</f>
        <v xml:space="preserve"> </v>
      </c>
      <c r="H39" s="4" t="str">
        <f>IF(A39&lt;('2. Inputs and results'!$B$21+1),H38*(1+'2. Inputs and results'!$B$58)," ")</f>
        <v xml:space="preserve"> </v>
      </c>
      <c r="I39" s="4" t="str">
        <f>IF(A39&lt;('2. Inputs and results'!$B$21+1),I38*(1+'2. Inputs and results'!$B$34)," ")</f>
        <v xml:space="preserve"> </v>
      </c>
      <c r="J39" s="4" t="str">
        <f>IF(A39&lt;('2. Inputs and results'!$B$21+1),J38*(1+'2. Inputs and results'!$B$68)," ")</f>
        <v xml:space="preserve"> </v>
      </c>
      <c r="K39" s="4" t="e">
        <f>IF('Solution 1, (hidden) (2)'!A39&lt;('2. Inputs and results'!$B$21+1),K38+(G39+I39+H39+J39),NA())</f>
        <v>#N/A</v>
      </c>
      <c r="L39" s="4" t="e">
        <f>IF(A39&lt;('2. Inputs and results'!$B$21+1),L38,NA())</f>
        <v>#N/A</v>
      </c>
      <c r="M39" s="4" t="str">
        <f>IF(A39&lt;('2. Inputs and results'!$B$21+1),'2. Inputs and results'!$B$75*'2. Inputs and results'!$B$73," ")</f>
        <v xml:space="preserve"> </v>
      </c>
      <c r="N39" s="4" t="str">
        <f>IF(A39&lt;('2. Inputs and results'!$B$21+1),M39/((1+$P$2)^A39)," ")</f>
        <v xml:space="preserve"> </v>
      </c>
      <c r="O39" s="4" t="str">
        <f>IF(A39&lt;('2. Inputs and results'!$B$21+1),'2. Inputs and results'!$B$73*'2. Inputs and results'!$B$75+O38," ")</f>
        <v xml:space="preserve"> </v>
      </c>
      <c r="P39" s="4" t="str">
        <f>IF(A39&lt;('2. Inputs and results'!$B$21+1),(G39+I39+H39+J39)/((1+$P$2)^A39)," ")</f>
        <v xml:space="preserve"> </v>
      </c>
      <c r="Q39" s="4" t="str">
        <f>IF(A39&lt;('2. Inputs and results'!$B$21+1),Q38+P39," ")</f>
        <v xml:space="preserve"> </v>
      </c>
      <c r="R39" s="4" t="e">
        <f>IF(A39&lt;('2. Inputs and results'!$B$21+1),R38+G39+I39+H39+J39+T39-$V$6,NA())</f>
        <v>#N/A</v>
      </c>
      <c r="S39" s="4" t="str">
        <f>IF(A39&lt;('2. Inputs and results'!$B$21+1),'2. Inputs and results'!$B$79*(R38)," ")</f>
        <v xml:space="preserve"> </v>
      </c>
      <c r="T39" s="4">
        <f t="shared" si="1"/>
        <v>0</v>
      </c>
      <c r="U39" s="4" t="e">
        <f>IF(A39&lt;('2. Inputs and results'!$B$21+1),U38+(T39+I39+G39+H39+J39-$V$6)/((1+$P$2)^A39),NA())</f>
        <v>#N/A</v>
      </c>
      <c r="V39" s="4" t="str">
        <f>IF(A39&lt;('2. Inputs and results'!$B$21+1),V38+('2. Inputs and results'!$B$75*'2. Inputs and results'!$B$73)," ")</f>
        <v xml:space="preserve"> </v>
      </c>
      <c r="W39" s="4" t="e">
        <f>IF(A39&lt;('2. Inputs and results'!$B$21+1),W38+C39+Y39-$V$6,NA())</f>
        <v>#N/A</v>
      </c>
      <c r="X39" s="4" t="str">
        <f>IF(A39&lt;('2. Inputs and results'!$B$21+1),'2. Inputs and results'!$B$79*W38," ")</f>
        <v xml:space="preserve"> </v>
      </c>
      <c r="Y39" s="4">
        <f t="shared" si="2"/>
        <v>0</v>
      </c>
      <c r="Z39" s="4" t="e">
        <f>IF(A39&lt;('2. Inputs and results'!$B$21+1),Z38+(C39-$V$6+Y39)/((1+$P$2)^A39),NA())</f>
        <v>#N/A</v>
      </c>
      <c r="AA39" s="4" t="str">
        <f>IF(A39&lt;('2. Inputs and results'!$B$21+1),AA38+(G39+I39+H39+T39-$V$6)," ")</f>
        <v xml:space="preserve"> </v>
      </c>
      <c r="AB39" s="20" t="e">
        <f>IF(A39&lt;('2. Inputs and results'!$B$21+1),AA39/L39,NA())</f>
        <v>#N/A</v>
      </c>
      <c r="AC39" s="29" t="str">
        <f>IF(A39&lt;('2. Inputs and results'!$B$21+1),AC38+(C39+Y39-$V$6)," ")</f>
        <v xml:space="preserve"> </v>
      </c>
      <c r="AD39" s="20" t="e">
        <f>IF(A39&lt;('2. Inputs and results'!$B$21+1),AC39/L39,NA())</f>
        <v>#N/A</v>
      </c>
      <c r="AE39" t="str">
        <f>IF(A39&lt;('2. Inputs and results'!$B$21+1),-'2. Inputs and results'!$B$121*A39," ")</f>
        <v xml:space="preserve"> </v>
      </c>
      <c r="AF39" t="e">
        <f>IF(A39&lt;('2. Inputs and results'!$B$21+1),AE39/1000,NA())</f>
        <v>#N/A</v>
      </c>
    </row>
    <row r="40" spans="1:32" x14ac:dyDescent="0.25">
      <c r="A40">
        <f t="shared" si="0"/>
        <v>35</v>
      </c>
      <c r="B40" t="str">
        <f>IF(A40&lt;('2. Inputs and results'!$B$21+1),A40," ")</f>
        <v xml:space="preserve"> </v>
      </c>
      <c r="C40" s="4" t="str">
        <f>IF(A40&lt;('2. Inputs and results'!$B$21+1),'2. Inputs and results'!$B$99+'2. Inputs and results'!$B$101," ")</f>
        <v xml:space="preserve"> </v>
      </c>
      <c r="D40" s="4" t="e">
        <f>IF(A40&lt;('2. Inputs and results'!$B$21+1),D39+C40,NA())</f>
        <v>#N/A</v>
      </c>
      <c r="E40" s="4" t="str">
        <f>IF(B40&lt;('2. Inputs and results'!$B$21+1),C40/((1+$P$2)^A40)," ")</f>
        <v xml:space="preserve"> </v>
      </c>
      <c r="F40" s="4" t="str">
        <f>IF(A40&lt;('2. Inputs and results'!$B$21+1),F39+E40," ")</f>
        <v xml:space="preserve"> </v>
      </c>
      <c r="G40" s="4" t="str">
        <f>IF(A40&lt;('2. Inputs and results'!$B$21+1),G39*(1+'2. Inputs and results'!$B$46)," ")</f>
        <v xml:space="preserve"> </v>
      </c>
      <c r="H40" s="4" t="str">
        <f>IF(A40&lt;('2. Inputs and results'!$B$21+1),H39*(1+'2. Inputs and results'!$B$58)," ")</f>
        <v xml:space="preserve"> </v>
      </c>
      <c r="I40" s="4" t="str">
        <f>IF(A40&lt;('2. Inputs and results'!$B$21+1),I39*(1+'2. Inputs and results'!$B$34)," ")</f>
        <v xml:space="preserve"> </v>
      </c>
      <c r="J40" s="4" t="str">
        <f>IF(A40&lt;('2. Inputs and results'!$B$21+1),J39*(1+'2. Inputs and results'!$B$68)," ")</f>
        <v xml:space="preserve"> </v>
      </c>
      <c r="K40" s="4" t="e">
        <f>IF('Solution 1, (hidden) (2)'!A40&lt;('2. Inputs and results'!$B$21+1),K39+(G40+I40+H40+J40),NA())</f>
        <v>#N/A</v>
      </c>
      <c r="L40" s="4" t="e">
        <f>IF(A40&lt;('2. Inputs and results'!$B$21+1),L39,NA())</f>
        <v>#N/A</v>
      </c>
      <c r="M40" s="4" t="str">
        <f>IF(A40&lt;('2. Inputs and results'!$B$21+1),'2. Inputs and results'!$B$75*'2. Inputs and results'!$B$73," ")</f>
        <v xml:space="preserve"> </v>
      </c>
      <c r="N40" s="4" t="str">
        <f>IF(A40&lt;('2. Inputs and results'!$B$21+1),M40/((1+$P$2)^A40)," ")</f>
        <v xml:space="preserve"> </v>
      </c>
      <c r="O40" s="4" t="str">
        <f>IF(A40&lt;('2. Inputs and results'!$B$21+1),'2. Inputs and results'!$B$73*'2. Inputs and results'!$B$75+O39," ")</f>
        <v xml:space="preserve"> </v>
      </c>
      <c r="P40" s="4" t="str">
        <f>IF(A40&lt;('2. Inputs and results'!$B$21+1),(G40+I40+H40+J40)/((1+$P$2)^A40)," ")</f>
        <v xml:space="preserve"> </v>
      </c>
      <c r="Q40" s="4" t="str">
        <f>IF(A40&lt;('2. Inputs and results'!$B$21+1),Q39+P40," ")</f>
        <v xml:space="preserve"> </v>
      </c>
      <c r="R40" s="4" t="e">
        <f>IF(A40&lt;('2. Inputs and results'!$B$21+1),R39+G40+I40+H40+J40+T40-$V$6,NA())</f>
        <v>#N/A</v>
      </c>
      <c r="S40" s="4" t="str">
        <f>IF(A40&lt;('2. Inputs and results'!$B$21+1),'2. Inputs and results'!$B$79*(R39)," ")</f>
        <v xml:space="preserve"> </v>
      </c>
      <c r="T40" s="4">
        <f t="shared" si="1"/>
        <v>0</v>
      </c>
      <c r="U40" s="4" t="e">
        <f>IF(A40&lt;('2. Inputs and results'!$B$21+1),U39+(T40+I40+G40+H40+J40-$V$6)/((1+$P$2)^A40),NA())</f>
        <v>#N/A</v>
      </c>
      <c r="V40" s="4" t="str">
        <f>IF(A40&lt;('2. Inputs and results'!$B$21+1),V39+('2. Inputs and results'!$B$75*'2. Inputs and results'!$B$73)," ")</f>
        <v xml:space="preserve"> </v>
      </c>
      <c r="W40" s="4" t="e">
        <f>IF(A40&lt;('2. Inputs and results'!$B$21+1),W39+C40+Y40-$V$6,NA())</f>
        <v>#N/A</v>
      </c>
      <c r="X40" s="4" t="str">
        <f>IF(A40&lt;('2. Inputs and results'!$B$21+1),'2. Inputs and results'!$B$79*W39," ")</f>
        <v xml:space="preserve"> </v>
      </c>
      <c r="Y40" s="4">
        <f t="shared" si="2"/>
        <v>0</v>
      </c>
      <c r="Z40" s="4" t="e">
        <f>IF(A40&lt;('2. Inputs and results'!$B$21+1),Z39+(C40-$V$6+Y40)/((1+$P$2)^A40),NA())</f>
        <v>#N/A</v>
      </c>
      <c r="AA40" s="4" t="str">
        <f>IF(A40&lt;('2. Inputs and results'!$B$21+1),AA39+(G40+I40+H40+T40-$V$6)," ")</f>
        <v xml:space="preserve"> </v>
      </c>
      <c r="AB40" s="20" t="e">
        <f>IF(A40&lt;('2. Inputs and results'!$B$21+1),AA40/L40,NA())</f>
        <v>#N/A</v>
      </c>
      <c r="AC40" s="29" t="str">
        <f>IF(A40&lt;('2. Inputs and results'!$B$21+1),AC39+(C40+Y40-$V$6)," ")</f>
        <v xml:space="preserve"> </v>
      </c>
      <c r="AD40" s="20" t="e">
        <f>IF(A40&lt;('2. Inputs and results'!$B$21+1),AC40/L40,NA())</f>
        <v>#N/A</v>
      </c>
      <c r="AE40" t="str">
        <f>IF(A40&lt;('2. Inputs and results'!$B$21+1),-'2. Inputs and results'!$B$121*A40," ")</f>
        <v xml:space="preserve"> </v>
      </c>
      <c r="AF40" t="e">
        <f>IF(A40&lt;('2. Inputs and results'!$B$21+1),AE40/1000,NA())</f>
        <v>#N/A</v>
      </c>
    </row>
    <row r="41" spans="1:32" x14ac:dyDescent="0.25">
      <c r="A41">
        <f t="shared" si="0"/>
        <v>36</v>
      </c>
      <c r="B41" t="str">
        <f>IF(A41&lt;('2. Inputs and results'!$B$21+1),A41," ")</f>
        <v xml:space="preserve"> </v>
      </c>
      <c r="C41" s="4" t="str">
        <f>IF(A41&lt;('2. Inputs and results'!$B$21+1),'2. Inputs and results'!$B$99+'2. Inputs and results'!$B$101," ")</f>
        <v xml:space="preserve"> </v>
      </c>
      <c r="D41" s="4" t="e">
        <f>IF(A41&lt;('2. Inputs and results'!$B$21+1),D40+C41,NA())</f>
        <v>#N/A</v>
      </c>
      <c r="E41" s="4" t="str">
        <f>IF(B41&lt;('2. Inputs and results'!$B$21+1),C41/((1+$P$2)^A41)," ")</f>
        <v xml:space="preserve"> </v>
      </c>
      <c r="F41" s="4" t="str">
        <f>IF(A41&lt;('2. Inputs and results'!$B$21+1),F40+E41," ")</f>
        <v xml:space="preserve"> </v>
      </c>
      <c r="G41" s="4" t="str">
        <f>IF(A41&lt;('2. Inputs and results'!$B$21+1),G40*(1+'2. Inputs and results'!$B$46)," ")</f>
        <v xml:space="preserve"> </v>
      </c>
      <c r="H41" s="4" t="str">
        <f>IF(A41&lt;('2. Inputs and results'!$B$21+1),H40*(1+'2. Inputs and results'!$B$58)," ")</f>
        <v xml:space="preserve"> </v>
      </c>
      <c r="I41" s="4" t="str">
        <f>IF(A41&lt;('2. Inputs and results'!$B$21+1),I40*(1+'2. Inputs and results'!$B$34)," ")</f>
        <v xml:space="preserve"> </v>
      </c>
      <c r="J41" s="4" t="str">
        <f>IF(A41&lt;('2. Inputs and results'!$B$21+1),J40*(1+'2. Inputs and results'!$B$68)," ")</f>
        <v xml:space="preserve"> </v>
      </c>
      <c r="K41" s="4" t="e">
        <f>IF('Solution 1, (hidden) (2)'!A41&lt;('2. Inputs and results'!$B$21+1),K40+(G41+I41+H41+J41),NA())</f>
        <v>#N/A</v>
      </c>
      <c r="L41" s="4" t="e">
        <f>IF(A41&lt;('2. Inputs and results'!$B$21+1),L40,NA())</f>
        <v>#N/A</v>
      </c>
      <c r="M41" s="4" t="str">
        <f>IF(A41&lt;('2. Inputs and results'!$B$21+1),'2. Inputs and results'!$B$75*'2. Inputs and results'!$B$73," ")</f>
        <v xml:space="preserve"> </v>
      </c>
      <c r="N41" s="4" t="str">
        <f>IF(A41&lt;('2. Inputs and results'!$B$21+1),M41/((1+$P$2)^A41)," ")</f>
        <v xml:space="preserve"> </v>
      </c>
      <c r="O41" s="4" t="str">
        <f>IF(A41&lt;('2. Inputs and results'!$B$21+1),'2. Inputs and results'!$B$73*'2. Inputs and results'!$B$75+O40," ")</f>
        <v xml:space="preserve"> </v>
      </c>
      <c r="P41" s="4" t="str">
        <f>IF(A41&lt;('2. Inputs and results'!$B$21+1),(G41+I41+H41+J41)/((1+$P$2)^A41)," ")</f>
        <v xml:space="preserve"> </v>
      </c>
      <c r="Q41" s="4" t="str">
        <f>IF(A41&lt;('2. Inputs and results'!$B$21+1),Q40+P41," ")</f>
        <v xml:space="preserve"> </v>
      </c>
      <c r="R41" s="4" t="e">
        <f>IF(A41&lt;('2. Inputs and results'!$B$21+1),R40+G41+I41+H41+J41+T41-$V$6,NA())</f>
        <v>#N/A</v>
      </c>
      <c r="S41" s="4" t="str">
        <f>IF(A41&lt;('2. Inputs and results'!$B$21+1),'2. Inputs and results'!$B$79*(R40)," ")</f>
        <v xml:space="preserve"> </v>
      </c>
      <c r="T41" s="4">
        <f t="shared" si="1"/>
        <v>0</v>
      </c>
      <c r="U41" s="4" t="e">
        <f>IF(A41&lt;('2. Inputs and results'!$B$21+1),U40+(T41+I41+G41+H41+J41-$V$6)/((1+$P$2)^A41),NA())</f>
        <v>#N/A</v>
      </c>
      <c r="V41" s="4" t="str">
        <f>IF(A41&lt;('2. Inputs and results'!$B$21+1),V40+('2. Inputs and results'!$B$75*'2. Inputs and results'!$B$73)," ")</f>
        <v xml:space="preserve"> </v>
      </c>
      <c r="W41" s="4" t="e">
        <f>IF(A41&lt;('2. Inputs and results'!$B$21+1),W40+C41+Y41-$V$6,NA())</f>
        <v>#N/A</v>
      </c>
      <c r="X41" s="4" t="str">
        <f>IF(A41&lt;('2. Inputs and results'!$B$21+1),'2. Inputs and results'!$B$79*W40," ")</f>
        <v xml:space="preserve"> </v>
      </c>
      <c r="Y41" s="4">
        <f t="shared" si="2"/>
        <v>0</v>
      </c>
      <c r="Z41" s="4" t="e">
        <f>IF(A41&lt;('2. Inputs and results'!$B$21+1),Z40+(C41-$V$6+Y41)/((1+$P$2)^A41),NA())</f>
        <v>#N/A</v>
      </c>
      <c r="AA41" s="4" t="str">
        <f>IF(A41&lt;('2. Inputs and results'!$B$21+1),AA40+(G41+I41+H41+T41-$V$6)," ")</f>
        <v xml:space="preserve"> </v>
      </c>
      <c r="AB41" s="20" t="e">
        <f>IF(A41&lt;('2. Inputs and results'!$B$21+1),AA41/L41,NA())</f>
        <v>#N/A</v>
      </c>
      <c r="AC41" s="29" t="str">
        <f>IF(A41&lt;('2. Inputs and results'!$B$21+1),AC40+(C41+Y41-$V$6)," ")</f>
        <v xml:space="preserve"> </v>
      </c>
      <c r="AD41" s="20" t="e">
        <f>IF(A41&lt;('2. Inputs and results'!$B$21+1),AC41/L41,NA())</f>
        <v>#N/A</v>
      </c>
      <c r="AE41" t="str">
        <f>IF(A41&lt;('2. Inputs and results'!$B$21+1),-'2. Inputs and results'!$B$121*A41," ")</f>
        <v xml:space="preserve"> </v>
      </c>
      <c r="AF41" t="e">
        <f>IF(A41&lt;('2. Inputs and results'!$B$21+1),AE41/1000,NA())</f>
        <v>#N/A</v>
      </c>
    </row>
    <row r="42" spans="1:32" x14ac:dyDescent="0.25">
      <c r="A42">
        <f t="shared" si="0"/>
        <v>37</v>
      </c>
      <c r="B42" t="str">
        <f>IF(A42&lt;('2. Inputs and results'!$B$21+1),A42," ")</f>
        <v xml:space="preserve"> </v>
      </c>
      <c r="C42" s="4" t="str">
        <f>IF(A42&lt;('2. Inputs and results'!$B$21+1),'2. Inputs and results'!$B$99+'2. Inputs and results'!$B$101," ")</f>
        <v xml:space="preserve"> </v>
      </c>
      <c r="D42" s="4" t="e">
        <f>IF(A42&lt;('2. Inputs and results'!$B$21+1),D41+C42,NA())</f>
        <v>#N/A</v>
      </c>
      <c r="E42" s="4" t="str">
        <f>IF(B42&lt;('2. Inputs and results'!$B$21+1),C42/((1+$P$2)^A42)," ")</f>
        <v xml:space="preserve"> </v>
      </c>
      <c r="F42" s="4" t="str">
        <f>IF(A42&lt;('2. Inputs and results'!$B$21+1),F41+E42," ")</f>
        <v xml:space="preserve"> </v>
      </c>
      <c r="G42" s="4" t="str">
        <f>IF(A42&lt;('2. Inputs and results'!$B$21+1),G41*(1+'2. Inputs and results'!$B$46)," ")</f>
        <v xml:space="preserve"> </v>
      </c>
      <c r="H42" s="4" t="str">
        <f>IF(A42&lt;('2. Inputs and results'!$B$21+1),H41*(1+'2. Inputs and results'!$B$58)," ")</f>
        <v xml:space="preserve"> </v>
      </c>
      <c r="I42" s="4" t="str">
        <f>IF(A42&lt;('2. Inputs and results'!$B$21+1),I41*(1+'2. Inputs and results'!$B$34)," ")</f>
        <v xml:space="preserve"> </v>
      </c>
      <c r="J42" s="4" t="str">
        <f>IF(A42&lt;('2. Inputs and results'!$B$21+1),J41*(1+'2. Inputs and results'!$B$68)," ")</f>
        <v xml:space="preserve"> </v>
      </c>
      <c r="K42" s="4" t="e">
        <f>IF('Solution 1, (hidden) (2)'!A42&lt;('2. Inputs and results'!$B$21+1),K41+(G42+I42+H42+J42),NA())</f>
        <v>#N/A</v>
      </c>
      <c r="L42" s="4" t="e">
        <f>IF(A42&lt;('2. Inputs and results'!$B$21+1),L41,NA())</f>
        <v>#N/A</v>
      </c>
      <c r="M42" s="4" t="str">
        <f>IF(A42&lt;('2. Inputs and results'!$B$21+1),'2. Inputs and results'!$B$75*'2. Inputs and results'!$B$73," ")</f>
        <v xml:space="preserve"> </v>
      </c>
      <c r="N42" s="4" t="str">
        <f>IF(A42&lt;('2. Inputs and results'!$B$21+1),M42/((1+$P$2)^A42)," ")</f>
        <v xml:space="preserve"> </v>
      </c>
      <c r="O42" s="4" t="str">
        <f>IF(A42&lt;('2. Inputs and results'!$B$21+1),'2. Inputs and results'!$B$73*'2. Inputs and results'!$B$75+O41," ")</f>
        <v xml:space="preserve"> </v>
      </c>
      <c r="P42" s="4" t="str">
        <f>IF(A42&lt;('2. Inputs and results'!$B$21+1),(G42+I42+H42+J42)/((1+$P$2)^A42)," ")</f>
        <v xml:space="preserve"> </v>
      </c>
      <c r="Q42" s="4" t="str">
        <f>IF(A42&lt;('2. Inputs and results'!$B$21+1),Q41+P42," ")</f>
        <v xml:space="preserve"> </v>
      </c>
      <c r="R42" s="4" t="e">
        <f>IF(A42&lt;('2. Inputs and results'!$B$21+1),R41+G42+I42+H42+J42+T42-$V$6,NA())</f>
        <v>#N/A</v>
      </c>
      <c r="S42" s="4" t="str">
        <f>IF(A42&lt;('2. Inputs and results'!$B$21+1),'2. Inputs and results'!$B$79*(R41)," ")</f>
        <v xml:space="preserve"> </v>
      </c>
      <c r="T42" s="4">
        <f t="shared" si="1"/>
        <v>0</v>
      </c>
      <c r="U42" s="4" t="e">
        <f>IF(A42&lt;('2. Inputs and results'!$B$21+1),U41+(T42+I42+G42+H42+J42-$V$6)/((1+$P$2)^A42),NA())</f>
        <v>#N/A</v>
      </c>
      <c r="V42" s="4" t="str">
        <f>IF(A42&lt;('2. Inputs and results'!$B$21+1),V41+('2. Inputs and results'!$B$75*'2. Inputs and results'!$B$73)," ")</f>
        <v xml:space="preserve"> </v>
      </c>
      <c r="W42" s="4" t="e">
        <f>IF(A42&lt;('2. Inputs and results'!$B$21+1),W41+C42+Y42-$V$6,NA())</f>
        <v>#N/A</v>
      </c>
      <c r="X42" s="4" t="str">
        <f>IF(A42&lt;('2. Inputs and results'!$B$21+1),'2. Inputs and results'!$B$79*W41," ")</f>
        <v xml:space="preserve"> </v>
      </c>
      <c r="Y42" s="4">
        <f t="shared" si="2"/>
        <v>0</v>
      </c>
      <c r="Z42" s="4" t="e">
        <f>IF(A42&lt;('2. Inputs and results'!$B$21+1),Z41+(C42-$V$6+Y42)/((1+$P$2)^A42),NA())</f>
        <v>#N/A</v>
      </c>
      <c r="AA42" s="4" t="str">
        <f>IF(A42&lt;('2. Inputs and results'!$B$21+1),AA41+(G42+I42+H42+T42-$V$6)," ")</f>
        <v xml:space="preserve"> </v>
      </c>
      <c r="AB42" s="20" t="e">
        <f>IF(A42&lt;('2. Inputs and results'!$B$21+1),AA42/L42,NA())</f>
        <v>#N/A</v>
      </c>
      <c r="AC42" s="29" t="str">
        <f>IF(A42&lt;('2. Inputs and results'!$B$21+1),AC41+(C42+Y42-$V$6)," ")</f>
        <v xml:space="preserve"> </v>
      </c>
      <c r="AD42" s="20" t="e">
        <f>IF(A42&lt;('2. Inputs and results'!$B$21+1),AC42/L42,NA())</f>
        <v>#N/A</v>
      </c>
      <c r="AE42" t="str">
        <f>IF(A42&lt;('2. Inputs and results'!$B$21+1),-'2. Inputs and results'!$B$121*A42," ")</f>
        <v xml:space="preserve"> </v>
      </c>
      <c r="AF42" t="e">
        <f>IF(A42&lt;('2. Inputs and results'!$B$21+1),AE42/1000,NA())</f>
        <v>#N/A</v>
      </c>
    </row>
    <row r="43" spans="1:32" x14ac:dyDescent="0.25">
      <c r="A43">
        <f t="shared" si="0"/>
        <v>38</v>
      </c>
      <c r="B43" t="str">
        <f>IF(A43&lt;('2. Inputs and results'!$B$21+1),A43," ")</f>
        <v xml:space="preserve"> </v>
      </c>
      <c r="C43" s="4" t="str">
        <f>IF(A43&lt;('2. Inputs and results'!$B$21+1),'2. Inputs and results'!$B$99+'2. Inputs and results'!$B$101," ")</f>
        <v xml:space="preserve"> </v>
      </c>
      <c r="D43" s="4" t="e">
        <f>IF(A43&lt;('2. Inputs and results'!$B$21+1),D42+C43,NA())</f>
        <v>#N/A</v>
      </c>
      <c r="E43" s="4" t="str">
        <f>IF(B43&lt;('2. Inputs and results'!$B$21+1),C43/((1+$P$2)^A43)," ")</f>
        <v xml:space="preserve"> </v>
      </c>
      <c r="F43" s="4" t="str">
        <f>IF(A43&lt;('2. Inputs and results'!$B$21+1),F42+E43," ")</f>
        <v xml:space="preserve"> </v>
      </c>
      <c r="G43" s="4" t="str">
        <f>IF(A43&lt;('2. Inputs and results'!$B$21+1),G42*(1+'2. Inputs and results'!$B$46)," ")</f>
        <v xml:space="preserve"> </v>
      </c>
      <c r="H43" s="4" t="str">
        <f>IF(A43&lt;('2. Inputs and results'!$B$21+1),H42*(1+'2. Inputs and results'!$B$58)," ")</f>
        <v xml:space="preserve"> </v>
      </c>
      <c r="I43" s="4" t="str">
        <f>IF(A43&lt;('2. Inputs and results'!$B$21+1),I42*(1+'2. Inputs and results'!$B$34)," ")</f>
        <v xml:space="preserve"> </v>
      </c>
      <c r="J43" s="4" t="str">
        <f>IF(A43&lt;('2. Inputs and results'!$B$21+1),J42*(1+'2. Inputs and results'!$B$68)," ")</f>
        <v xml:space="preserve"> </v>
      </c>
      <c r="K43" s="4" t="e">
        <f>IF('Solution 1, (hidden) (2)'!A43&lt;('2. Inputs and results'!$B$21+1),K42+(G43+I43+H43+J43),NA())</f>
        <v>#N/A</v>
      </c>
      <c r="L43" s="4" t="e">
        <f>IF(A43&lt;('2. Inputs and results'!$B$21+1),L42,NA())</f>
        <v>#N/A</v>
      </c>
      <c r="M43" s="4" t="str">
        <f>IF(A43&lt;('2. Inputs and results'!$B$21+1),'2. Inputs and results'!$B$75*'2. Inputs and results'!$B$73," ")</f>
        <v xml:space="preserve"> </v>
      </c>
      <c r="N43" s="4" t="str">
        <f>IF(A43&lt;('2. Inputs and results'!$B$21+1),M43/((1+$P$2)^A43)," ")</f>
        <v xml:space="preserve"> </v>
      </c>
      <c r="O43" s="4" t="str">
        <f>IF(A43&lt;('2. Inputs and results'!$B$21+1),'2. Inputs and results'!$B$73*'2. Inputs and results'!$B$75+O42," ")</f>
        <v xml:space="preserve"> </v>
      </c>
      <c r="P43" s="4" t="str">
        <f>IF(A43&lt;('2. Inputs and results'!$B$21+1),(G43+I43+H43+J43)/((1+$P$2)^A43)," ")</f>
        <v xml:space="preserve"> </v>
      </c>
      <c r="Q43" s="4" t="str">
        <f>IF(A43&lt;('2. Inputs and results'!$B$21+1),Q42+P43," ")</f>
        <v xml:space="preserve"> </v>
      </c>
      <c r="R43" s="4" t="e">
        <f>IF(A43&lt;('2. Inputs and results'!$B$21+1),R42+G43+I43+H43+J43+T43-$V$6,NA())</f>
        <v>#N/A</v>
      </c>
      <c r="S43" s="4" t="str">
        <f>IF(A43&lt;('2. Inputs and results'!$B$21+1),'2. Inputs and results'!$B$79*(R42)," ")</f>
        <v xml:space="preserve"> </v>
      </c>
      <c r="T43" s="4">
        <f t="shared" si="1"/>
        <v>0</v>
      </c>
      <c r="U43" s="4" t="e">
        <f>IF(A43&lt;('2. Inputs and results'!$B$21+1),U42+(T43+I43+G43+H43+J43-$V$6)/((1+$P$2)^A43),NA())</f>
        <v>#N/A</v>
      </c>
      <c r="V43" s="4" t="str">
        <f>IF(A43&lt;('2. Inputs and results'!$B$21+1),V42+('2. Inputs and results'!$B$75*'2. Inputs and results'!$B$73)," ")</f>
        <v xml:space="preserve"> </v>
      </c>
      <c r="W43" s="4" t="e">
        <f>IF(A43&lt;('2. Inputs and results'!$B$21+1),W42+C43+Y43-$V$6,NA())</f>
        <v>#N/A</v>
      </c>
      <c r="X43" s="4" t="str">
        <f>IF(A43&lt;('2. Inputs and results'!$B$21+1),'2. Inputs and results'!$B$79*W42," ")</f>
        <v xml:space="preserve"> </v>
      </c>
      <c r="Y43" s="4">
        <f t="shared" si="2"/>
        <v>0</v>
      </c>
      <c r="Z43" s="4" t="e">
        <f>IF(A43&lt;('2. Inputs and results'!$B$21+1),Z42+(C43-$V$6+Y43)/((1+$P$2)^A43),NA())</f>
        <v>#N/A</v>
      </c>
      <c r="AA43" s="4" t="str">
        <f>IF(A43&lt;('2. Inputs and results'!$B$21+1),AA42+(G43+I43+H43+T43-$V$6)," ")</f>
        <v xml:space="preserve"> </v>
      </c>
      <c r="AB43" s="20" t="e">
        <f>IF(A43&lt;('2. Inputs and results'!$B$21+1),AA43/L43,NA())</f>
        <v>#N/A</v>
      </c>
      <c r="AC43" s="29" t="str">
        <f>IF(A43&lt;('2. Inputs and results'!$B$21+1),AC42+(C43+Y43-$V$6)," ")</f>
        <v xml:space="preserve"> </v>
      </c>
      <c r="AD43" s="20" t="e">
        <f>IF(A43&lt;('2. Inputs and results'!$B$21+1),AC43/L43,NA())</f>
        <v>#N/A</v>
      </c>
      <c r="AE43" t="str">
        <f>IF(A43&lt;('2. Inputs and results'!$B$21+1),-'2. Inputs and results'!$B$121*A43," ")</f>
        <v xml:space="preserve"> </v>
      </c>
      <c r="AF43" t="e">
        <f>IF(A43&lt;('2. Inputs and results'!$B$21+1),AE43/1000,NA())</f>
        <v>#N/A</v>
      </c>
    </row>
    <row r="44" spans="1:32" x14ac:dyDescent="0.25">
      <c r="A44">
        <f t="shared" si="0"/>
        <v>39</v>
      </c>
      <c r="B44" t="str">
        <f>IF(A44&lt;('2. Inputs and results'!$B$21+1),A44," ")</f>
        <v xml:space="preserve"> </v>
      </c>
      <c r="C44" s="4" t="str">
        <f>IF(A44&lt;('2. Inputs and results'!$B$21+1),'2. Inputs and results'!$B$99+'2. Inputs and results'!$B$101," ")</f>
        <v xml:space="preserve"> </v>
      </c>
      <c r="D44" s="4" t="e">
        <f>IF(A44&lt;('2. Inputs and results'!$B$21+1),D43+C44,NA())</f>
        <v>#N/A</v>
      </c>
      <c r="E44" s="4" t="str">
        <f>IF(B44&lt;('2. Inputs and results'!$B$21+1),C44/((1+$P$2)^A44)," ")</f>
        <v xml:space="preserve"> </v>
      </c>
      <c r="F44" s="4" t="str">
        <f>IF(A44&lt;('2. Inputs and results'!$B$21+1),F43+E44," ")</f>
        <v xml:space="preserve"> </v>
      </c>
      <c r="G44" s="4" t="str">
        <f>IF(A44&lt;('2. Inputs and results'!$B$21+1),G43*(1+'2. Inputs and results'!$B$46)," ")</f>
        <v xml:space="preserve"> </v>
      </c>
      <c r="H44" s="4" t="str">
        <f>IF(A44&lt;('2. Inputs and results'!$B$21+1),H43*(1+'2. Inputs and results'!$B$58)," ")</f>
        <v xml:space="preserve"> </v>
      </c>
      <c r="I44" s="4" t="str">
        <f>IF(A44&lt;('2. Inputs and results'!$B$21+1),I43*(1+'2. Inputs and results'!$B$34)," ")</f>
        <v xml:space="preserve"> </v>
      </c>
      <c r="J44" s="4" t="str">
        <f>IF(A44&lt;('2. Inputs and results'!$B$21+1),J43*(1+'2. Inputs and results'!$B$68)," ")</f>
        <v xml:space="preserve"> </v>
      </c>
      <c r="K44" s="4" t="e">
        <f>IF('Solution 1, (hidden) (2)'!A44&lt;('2. Inputs and results'!$B$21+1),K43+(G44+I44+H44+J44),NA())</f>
        <v>#N/A</v>
      </c>
      <c r="L44" s="4" t="e">
        <f>IF(A44&lt;('2. Inputs and results'!$B$21+1),L43,NA())</f>
        <v>#N/A</v>
      </c>
      <c r="M44" s="4" t="str">
        <f>IF(A44&lt;('2. Inputs and results'!$B$21+1),'2. Inputs and results'!$B$75*'2. Inputs and results'!$B$73," ")</f>
        <v xml:space="preserve"> </v>
      </c>
      <c r="N44" s="4" t="str">
        <f>IF(A44&lt;('2. Inputs and results'!$B$21+1),M44/((1+$P$2)^A44)," ")</f>
        <v xml:space="preserve"> </v>
      </c>
      <c r="O44" s="4" t="str">
        <f>IF(A44&lt;('2. Inputs and results'!$B$21+1),'2. Inputs and results'!$B$73*'2. Inputs and results'!$B$75+O43," ")</f>
        <v xml:space="preserve"> </v>
      </c>
      <c r="P44" s="4" t="str">
        <f>IF(A44&lt;('2. Inputs and results'!$B$21+1),(G44+I44+H44+J44)/((1+$P$2)^A44)," ")</f>
        <v xml:space="preserve"> </v>
      </c>
      <c r="Q44" s="4" t="str">
        <f>IF(A44&lt;('2. Inputs and results'!$B$21+1),Q43+P44," ")</f>
        <v xml:space="preserve"> </v>
      </c>
      <c r="R44" s="4" t="e">
        <f>IF(A44&lt;('2. Inputs and results'!$B$21+1),R43+G44+I44+H44+J44+T44-$V$6,NA())</f>
        <v>#N/A</v>
      </c>
      <c r="S44" s="4" t="str">
        <f>IF(A44&lt;('2. Inputs and results'!$B$21+1),'2. Inputs and results'!$B$79*(R43)," ")</f>
        <v xml:space="preserve"> </v>
      </c>
      <c r="T44" s="4">
        <f t="shared" si="1"/>
        <v>0</v>
      </c>
      <c r="U44" s="4" t="e">
        <f>IF(A44&lt;('2. Inputs and results'!$B$21+1),U43+(T44+I44+G44+H44+J44-$V$6)/((1+$P$2)^A44),NA())</f>
        <v>#N/A</v>
      </c>
      <c r="V44" s="4" t="str">
        <f>IF(A44&lt;('2. Inputs and results'!$B$21+1),V43+('2. Inputs and results'!$B$75*'2. Inputs and results'!$B$73)," ")</f>
        <v xml:space="preserve"> </v>
      </c>
      <c r="W44" s="4" t="e">
        <f>IF(A44&lt;('2. Inputs and results'!$B$21+1),W43+C44+Y44-$V$6,NA())</f>
        <v>#N/A</v>
      </c>
      <c r="X44" s="4" t="str">
        <f>IF(A44&lt;('2. Inputs and results'!$B$21+1),'2. Inputs and results'!$B$79*W43," ")</f>
        <v xml:space="preserve"> </v>
      </c>
      <c r="Y44" s="4">
        <f t="shared" si="2"/>
        <v>0</v>
      </c>
      <c r="Z44" s="4" t="e">
        <f>IF(A44&lt;('2. Inputs and results'!$B$21+1),Z43+(C44-$V$6+Y44)/((1+$P$2)^A44),NA())</f>
        <v>#N/A</v>
      </c>
      <c r="AA44" s="4" t="str">
        <f>IF(A44&lt;('2. Inputs and results'!$B$21+1),AA43+(G44+I44+H44+T44-$V$6)," ")</f>
        <v xml:space="preserve"> </v>
      </c>
      <c r="AB44" s="20" t="e">
        <f>IF(A44&lt;('2. Inputs and results'!$B$21+1),AA44/L44,NA())</f>
        <v>#N/A</v>
      </c>
      <c r="AC44" s="29" t="str">
        <f>IF(A44&lt;('2. Inputs and results'!$B$21+1),AC43+(C44+Y44-$V$6)," ")</f>
        <v xml:space="preserve"> </v>
      </c>
      <c r="AD44" s="20" t="e">
        <f>IF(A44&lt;('2. Inputs and results'!$B$21+1),AC44/L44,NA())</f>
        <v>#N/A</v>
      </c>
      <c r="AE44" t="str">
        <f>IF(A44&lt;('2. Inputs and results'!$B$21+1),-'2. Inputs and results'!$B$121*A44," ")</f>
        <v xml:space="preserve"> </v>
      </c>
      <c r="AF44" t="e">
        <f>IF(A44&lt;('2. Inputs and results'!$B$21+1),AE44/1000,NA())</f>
        <v>#N/A</v>
      </c>
    </row>
    <row r="45" spans="1:32" x14ac:dyDescent="0.25">
      <c r="A45">
        <f t="shared" si="0"/>
        <v>40</v>
      </c>
      <c r="B45" t="str">
        <f>IF(A45&lt;('2. Inputs and results'!$B$21+1),A45," ")</f>
        <v xml:space="preserve"> </v>
      </c>
      <c r="C45" s="4" t="str">
        <f>IF(A45&lt;('2. Inputs and results'!$B$21+1),'2. Inputs and results'!$B$99+'2. Inputs and results'!$B$101," ")</f>
        <v xml:space="preserve"> </v>
      </c>
      <c r="D45" s="4" t="e">
        <f>IF(A45&lt;('2. Inputs and results'!$B$21+1),D44+C45,NA())</f>
        <v>#N/A</v>
      </c>
      <c r="E45" s="4" t="str">
        <f>IF(B45&lt;('2. Inputs and results'!$B$21+1),C45/((1+$P$2)^A45)," ")</f>
        <v xml:space="preserve"> </v>
      </c>
      <c r="F45" s="4" t="str">
        <f>IF(A45&lt;('2. Inputs and results'!$B$21+1),F44+E45," ")</f>
        <v xml:space="preserve"> </v>
      </c>
      <c r="G45" s="4" t="str">
        <f>IF(A45&lt;('2. Inputs and results'!$B$21+1),G44*(1+'2. Inputs and results'!$B$46)," ")</f>
        <v xml:space="preserve"> </v>
      </c>
      <c r="H45" s="4" t="str">
        <f>IF(A45&lt;('2. Inputs and results'!$B$21+1),H44*(1+'2. Inputs and results'!$B$58)," ")</f>
        <v xml:space="preserve"> </v>
      </c>
      <c r="I45" s="4" t="str">
        <f>IF(A45&lt;('2. Inputs and results'!$B$21+1),I44*(1+'2. Inputs and results'!$B$34)," ")</f>
        <v xml:space="preserve"> </v>
      </c>
      <c r="J45" s="4" t="str">
        <f>IF(A45&lt;('2. Inputs and results'!$B$21+1),J44*(1+'2. Inputs and results'!$B$68)," ")</f>
        <v xml:space="preserve"> </v>
      </c>
      <c r="K45" s="4" t="e">
        <f>IF('Solution 1, (hidden) (2)'!A45&lt;('2. Inputs and results'!$B$21+1),K44+(G45+I45+H45+J45),NA())</f>
        <v>#N/A</v>
      </c>
      <c r="L45" s="4" t="e">
        <f>IF(A45&lt;('2. Inputs and results'!$B$21+1),L44,NA())</f>
        <v>#N/A</v>
      </c>
      <c r="M45" s="4" t="str">
        <f>IF(A45&lt;('2. Inputs and results'!$B$21+1),'2. Inputs and results'!$B$75*'2. Inputs and results'!$B$73," ")</f>
        <v xml:space="preserve"> </v>
      </c>
      <c r="N45" s="4" t="str">
        <f>IF(A45&lt;('2. Inputs and results'!$B$21+1),M45/((1+$P$2)^A45)," ")</f>
        <v xml:space="preserve"> </v>
      </c>
      <c r="O45" s="4" t="str">
        <f>IF(A45&lt;('2. Inputs and results'!$B$21+1),'2. Inputs and results'!$B$73*'2. Inputs and results'!$B$75+O44," ")</f>
        <v xml:space="preserve"> </v>
      </c>
      <c r="P45" s="4" t="str">
        <f>IF(A45&lt;('2. Inputs and results'!$B$21+1),(G45+I45+H45+J45)/((1+$P$2)^A45)," ")</f>
        <v xml:space="preserve"> </v>
      </c>
      <c r="Q45" s="4" t="str">
        <f>IF(A45&lt;('2. Inputs and results'!$B$21+1),Q44+P45," ")</f>
        <v xml:space="preserve"> </v>
      </c>
      <c r="R45" s="4" t="e">
        <f>IF(A45&lt;('2. Inputs and results'!$B$21+1),R44+G45+I45+H45+J45+T45-$V$6,NA())</f>
        <v>#N/A</v>
      </c>
      <c r="S45" s="4" t="str">
        <f>IF(A45&lt;('2. Inputs and results'!$B$21+1),'2. Inputs and results'!$B$79*(R44)," ")</f>
        <v xml:space="preserve"> </v>
      </c>
      <c r="T45" s="4">
        <f t="shared" si="1"/>
        <v>0</v>
      </c>
      <c r="U45" s="4" t="e">
        <f>IF(A45&lt;('2. Inputs and results'!$B$21+1),U44+(T45+I45+G45+H45+J45-$V$6)/((1+$P$2)^A45),NA())</f>
        <v>#N/A</v>
      </c>
      <c r="V45" s="4" t="str">
        <f>IF(A45&lt;('2. Inputs and results'!$B$21+1),V44+('2. Inputs and results'!$B$75*'2. Inputs and results'!$B$73)," ")</f>
        <v xml:space="preserve"> </v>
      </c>
      <c r="W45" s="4" t="e">
        <f>IF(A45&lt;('2. Inputs and results'!$B$21+1),W44+C45+Y45-$V$6,NA())</f>
        <v>#N/A</v>
      </c>
      <c r="X45" s="4" t="str">
        <f>IF(A45&lt;('2. Inputs and results'!$B$21+1),'2. Inputs and results'!$B$79*W44," ")</f>
        <v xml:space="preserve"> </v>
      </c>
      <c r="Y45" s="4">
        <f t="shared" si="2"/>
        <v>0</v>
      </c>
      <c r="Z45" s="4" t="e">
        <f>IF(A45&lt;('2. Inputs and results'!$B$21+1),Z44+(C45-$V$6+Y45)/((1+$P$2)^A45),NA())</f>
        <v>#N/A</v>
      </c>
      <c r="AA45" s="4" t="str">
        <f>IF(A45&lt;('2. Inputs and results'!$B$21+1),AA44+(G45+I45+H45+T45-$V$6)," ")</f>
        <v xml:space="preserve"> </v>
      </c>
      <c r="AB45" s="20" t="e">
        <f>IF(A45&lt;('2. Inputs and results'!$B$21+1),AA45/L45,NA())</f>
        <v>#N/A</v>
      </c>
      <c r="AC45" s="29" t="str">
        <f>IF(A45&lt;('2. Inputs and results'!$B$21+1),AC44+(C45+Y45-$V$6)," ")</f>
        <v xml:space="preserve"> </v>
      </c>
      <c r="AD45" s="20" t="e">
        <f>IF(A45&lt;('2. Inputs and results'!$B$21+1),AC45/L45,NA())</f>
        <v>#N/A</v>
      </c>
      <c r="AE45" t="str">
        <f>IF(A45&lt;('2. Inputs and results'!$B$21+1),-'2. Inputs and results'!$B$121*A45," ")</f>
        <v xml:space="preserve"> </v>
      </c>
      <c r="AF45" t="e">
        <f>IF(A45&lt;('2. Inputs and results'!$B$21+1),AE45/1000,NA())</f>
        <v>#N/A</v>
      </c>
    </row>
    <row r="46" spans="1:32" x14ac:dyDescent="0.25">
      <c r="A46">
        <f t="shared" si="0"/>
        <v>41</v>
      </c>
      <c r="B46" t="str">
        <f>IF(A46&lt;('2. Inputs and results'!$B$21+1),A46," ")</f>
        <v xml:space="preserve"> </v>
      </c>
      <c r="C46" s="4" t="str">
        <f>IF(A46&lt;('2. Inputs and results'!$B$21+1),'2. Inputs and results'!$B$99+'2. Inputs and results'!$B$101," ")</f>
        <v xml:space="preserve"> </v>
      </c>
      <c r="D46" s="4" t="e">
        <f>IF(A46&lt;('2. Inputs and results'!$B$21+1),D45+C46,NA())</f>
        <v>#N/A</v>
      </c>
      <c r="E46" s="4" t="str">
        <f>IF(B46&lt;('2. Inputs and results'!$B$21+1),C46/((1+$P$2)^A46)," ")</f>
        <v xml:space="preserve"> </v>
      </c>
      <c r="F46" s="4" t="str">
        <f>IF(A46&lt;('2. Inputs and results'!$B$21+1),F45+E46," ")</f>
        <v xml:space="preserve"> </v>
      </c>
      <c r="G46" s="4" t="str">
        <f>IF(A46&lt;('2. Inputs and results'!$B$21+1),G45*(1+'2. Inputs and results'!$B$46)," ")</f>
        <v xml:space="preserve"> </v>
      </c>
      <c r="H46" s="4" t="str">
        <f>IF(A46&lt;('2. Inputs and results'!$B$21+1),H45*(1+'2. Inputs and results'!$B$58)," ")</f>
        <v xml:space="preserve"> </v>
      </c>
      <c r="I46" s="4" t="str">
        <f>IF(A46&lt;('2. Inputs and results'!$B$21+1),I45*(1+'2. Inputs and results'!$B$34)," ")</f>
        <v xml:space="preserve"> </v>
      </c>
      <c r="J46" s="4" t="str">
        <f>IF(A46&lt;('2. Inputs and results'!$B$21+1),J45*(1+'2. Inputs and results'!$B$68)," ")</f>
        <v xml:space="preserve"> </v>
      </c>
      <c r="K46" s="4" t="e">
        <f>IF('Solution 1, (hidden) (2)'!A46&lt;('2. Inputs and results'!$B$21+1),K45+(G46+I46+H46+J46),NA())</f>
        <v>#N/A</v>
      </c>
      <c r="L46" s="4" t="e">
        <f>IF(A46&lt;('2. Inputs and results'!$B$21+1),L45,NA())</f>
        <v>#N/A</v>
      </c>
      <c r="M46" s="4" t="str">
        <f>IF(A46&lt;('2. Inputs and results'!$B$21+1),'2. Inputs and results'!$B$75*'2. Inputs and results'!$B$73," ")</f>
        <v xml:space="preserve"> </v>
      </c>
      <c r="N46" s="4" t="str">
        <f>IF(A46&lt;('2. Inputs and results'!$B$21+1),M46/((1+$P$2)^A46)," ")</f>
        <v xml:space="preserve"> </v>
      </c>
      <c r="O46" s="4" t="str">
        <f>IF(A46&lt;('2. Inputs and results'!$B$21+1),'2. Inputs and results'!$B$73*'2. Inputs and results'!$B$75+O45," ")</f>
        <v xml:space="preserve"> </v>
      </c>
      <c r="P46" s="4" t="str">
        <f>IF(A46&lt;('2. Inputs and results'!$B$21+1),(G46+I46+H46+J46)/((1+$P$2)^A46)," ")</f>
        <v xml:space="preserve"> </v>
      </c>
      <c r="Q46" s="4" t="str">
        <f>IF(A46&lt;('2. Inputs and results'!$B$21+1),Q45+P46," ")</f>
        <v xml:space="preserve"> </v>
      </c>
      <c r="R46" s="4" t="e">
        <f>IF(A46&lt;('2. Inputs and results'!$B$21+1),R45+G46+I46+H46+J46+T46-$V$6,NA())</f>
        <v>#N/A</v>
      </c>
      <c r="S46" s="4" t="str">
        <f>IF(A46&lt;('2. Inputs and results'!$B$21+1),'2. Inputs and results'!$B$79*(R45)," ")</f>
        <v xml:space="preserve"> </v>
      </c>
      <c r="T46" s="4">
        <f t="shared" si="1"/>
        <v>0</v>
      </c>
      <c r="U46" s="4" t="e">
        <f>IF(A46&lt;('2. Inputs and results'!$B$21+1),U45+(T46+I46+G46+H46+J46-$V$6)/((1+$P$2)^A46),NA())</f>
        <v>#N/A</v>
      </c>
      <c r="V46" s="4" t="str">
        <f>IF(A46&lt;('2. Inputs and results'!$B$21+1),V45+('2. Inputs and results'!$B$75*'2. Inputs and results'!$B$73)," ")</f>
        <v xml:space="preserve"> </v>
      </c>
      <c r="W46" s="4" t="e">
        <f>IF(A46&lt;('2. Inputs and results'!$B$21+1),W45+C46+Y46-$V$6,NA())</f>
        <v>#N/A</v>
      </c>
      <c r="X46" s="4" t="str">
        <f>IF(A46&lt;('2. Inputs and results'!$B$21+1),'2. Inputs and results'!$B$79*W45," ")</f>
        <v xml:space="preserve"> </v>
      </c>
      <c r="Y46" s="4">
        <f t="shared" si="2"/>
        <v>0</v>
      </c>
      <c r="Z46" s="4" t="e">
        <f>IF(A46&lt;('2. Inputs and results'!$B$21+1),Z45+(C46-$V$6+Y46)/((1+$P$2)^A46),NA())</f>
        <v>#N/A</v>
      </c>
      <c r="AA46" s="4" t="str">
        <f>IF(A46&lt;('2. Inputs and results'!$B$21+1),AA45+(G46+I46+H46+T46-$V$6)," ")</f>
        <v xml:space="preserve"> </v>
      </c>
      <c r="AB46" s="20" t="e">
        <f>IF(A46&lt;('2. Inputs and results'!$B$21+1),AA46/L46,NA())</f>
        <v>#N/A</v>
      </c>
      <c r="AC46" s="29" t="str">
        <f>IF(A46&lt;('2. Inputs and results'!$B$21+1),AC45+(C46+Y46-$V$6)," ")</f>
        <v xml:space="preserve"> </v>
      </c>
      <c r="AD46" s="20" t="e">
        <f>IF(A46&lt;('2. Inputs and results'!$B$21+1),AC46/L46,NA())</f>
        <v>#N/A</v>
      </c>
      <c r="AE46" t="str">
        <f>IF(A46&lt;('2. Inputs and results'!$B$21+1),-'2. Inputs and results'!$B$121*A46," ")</f>
        <v xml:space="preserve"> </v>
      </c>
      <c r="AF46" t="e">
        <f>IF(A46&lt;('2. Inputs and results'!$B$21+1),AE46/1000,NA())</f>
        <v>#N/A</v>
      </c>
    </row>
    <row r="47" spans="1:32" x14ac:dyDescent="0.25">
      <c r="A47">
        <f t="shared" si="0"/>
        <v>42</v>
      </c>
      <c r="B47" t="str">
        <f>IF(A47&lt;('2. Inputs and results'!$B$21+1),A47," ")</f>
        <v xml:space="preserve"> </v>
      </c>
      <c r="C47" s="4" t="str">
        <f>IF(A47&lt;('2. Inputs and results'!$B$21+1),'2. Inputs and results'!$B$99+'2. Inputs and results'!$B$101," ")</f>
        <v xml:space="preserve"> </v>
      </c>
      <c r="D47" s="4" t="e">
        <f>IF(A47&lt;('2. Inputs and results'!$B$21+1),D46+C47,NA())</f>
        <v>#N/A</v>
      </c>
      <c r="E47" s="4" t="str">
        <f>IF(B47&lt;('2. Inputs and results'!$B$21+1),C47/((1+$P$2)^A47)," ")</f>
        <v xml:space="preserve"> </v>
      </c>
      <c r="F47" s="4" t="str">
        <f>IF(A47&lt;('2. Inputs and results'!$B$21+1),F46+E47," ")</f>
        <v xml:space="preserve"> </v>
      </c>
      <c r="G47" s="4" t="str">
        <f>IF(A47&lt;('2. Inputs and results'!$B$21+1),G46*(1+'2. Inputs and results'!$B$46)," ")</f>
        <v xml:space="preserve"> </v>
      </c>
      <c r="H47" s="4" t="str">
        <f>IF(A47&lt;('2. Inputs and results'!$B$21+1),H46*(1+'2. Inputs and results'!$B$58)," ")</f>
        <v xml:space="preserve"> </v>
      </c>
      <c r="I47" s="4" t="str">
        <f>IF(A47&lt;('2. Inputs and results'!$B$21+1),I46*(1+'2. Inputs and results'!$B$34)," ")</f>
        <v xml:space="preserve"> </v>
      </c>
      <c r="J47" s="4" t="str">
        <f>IF(A47&lt;('2. Inputs and results'!$B$21+1),J46*(1+'2. Inputs and results'!$B$68)," ")</f>
        <v xml:space="preserve"> </v>
      </c>
      <c r="K47" s="4" t="e">
        <f>IF('Solution 1, (hidden) (2)'!A47&lt;('2. Inputs and results'!$B$21+1),K46+(G47+I47+H47+J47),NA())</f>
        <v>#N/A</v>
      </c>
      <c r="L47" s="4" t="e">
        <f>IF(A47&lt;('2. Inputs and results'!$B$21+1),L46,NA())</f>
        <v>#N/A</v>
      </c>
      <c r="M47" s="4" t="str">
        <f>IF(A47&lt;('2. Inputs and results'!$B$21+1),'2. Inputs and results'!$B$75*'2. Inputs and results'!$B$73," ")</f>
        <v xml:space="preserve"> </v>
      </c>
      <c r="N47" s="4" t="str">
        <f>IF(A47&lt;('2. Inputs and results'!$B$21+1),M47/((1+$P$2)^A47)," ")</f>
        <v xml:space="preserve"> </v>
      </c>
      <c r="O47" s="4" t="str">
        <f>IF(A47&lt;('2. Inputs and results'!$B$21+1),'2. Inputs and results'!$B$73*'2. Inputs and results'!$B$75+O46," ")</f>
        <v xml:space="preserve"> </v>
      </c>
      <c r="P47" s="4" t="str">
        <f>IF(A47&lt;('2. Inputs and results'!$B$21+1),(G47+I47+H47+J47)/((1+$P$2)^A47)," ")</f>
        <v xml:space="preserve"> </v>
      </c>
      <c r="Q47" s="4" t="str">
        <f>IF(A47&lt;('2. Inputs and results'!$B$21+1),Q46+P47," ")</f>
        <v xml:space="preserve"> </v>
      </c>
      <c r="R47" s="4" t="e">
        <f>IF(A47&lt;('2. Inputs and results'!$B$21+1),R46+G47+I47+H47+J47+T47-$V$6,NA())</f>
        <v>#N/A</v>
      </c>
      <c r="S47" s="4" t="str">
        <f>IF(A47&lt;('2. Inputs and results'!$B$21+1),'2. Inputs and results'!$B$79*(R46)," ")</f>
        <v xml:space="preserve"> </v>
      </c>
      <c r="T47" s="4">
        <f t="shared" si="1"/>
        <v>0</v>
      </c>
      <c r="U47" s="4" t="e">
        <f>IF(A47&lt;('2. Inputs and results'!$B$21+1),U46+(T47+I47+G47+H47+J47-$V$6)/((1+$P$2)^A47),NA())</f>
        <v>#N/A</v>
      </c>
      <c r="V47" s="4" t="str">
        <f>IF(A47&lt;('2. Inputs and results'!$B$21+1),V46+('2. Inputs and results'!$B$75*'2. Inputs and results'!$B$73)," ")</f>
        <v xml:space="preserve"> </v>
      </c>
      <c r="W47" s="4" t="e">
        <f>IF(A47&lt;('2. Inputs and results'!$B$21+1),W46+C47+Y47-$V$6,NA())</f>
        <v>#N/A</v>
      </c>
      <c r="X47" s="4" t="str">
        <f>IF(A47&lt;('2. Inputs and results'!$B$21+1),'2. Inputs and results'!$B$79*W46," ")</f>
        <v xml:space="preserve"> </v>
      </c>
      <c r="Y47" s="4">
        <f t="shared" si="2"/>
        <v>0</v>
      </c>
      <c r="Z47" s="4" t="e">
        <f>IF(A47&lt;('2. Inputs and results'!$B$21+1),Z46+(C47-$V$6+Y47)/((1+$P$2)^A47),NA())</f>
        <v>#N/A</v>
      </c>
      <c r="AA47" s="4" t="str">
        <f>IF(A47&lt;('2. Inputs and results'!$B$21+1),AA46+(G47+I47+H47+T47-$V$6)," ")</f>
        <v xml:space="preserve"> </v>
      </c>
      <c r="AB47" s="20" t="e">
        <f>IF(A47&lt;('2. Inputs and results'!$B$21+1),AA47/L47,NA())</f>
        <v>#N/A</v>
      </c>
      <c r="AC47" s="29" t="str">
        <f>IF(A47&lt;('2. Inputs and results'!$B$21+1),AC46+(C47+Y47-$V$6)," ")</f>
        <v xml:space="preserve"> </v>
      </c>
      <c r="AD47" s="20" t="e">
        <f>IF(A47&lt;('2. Inputs and results'!$B$21+1),AC47/L47,NA())</f>
        <v>#N/A</v>
      </c>
      <c r="AE47" t="str">
        <f>IF(A47&lt;('2. Inputs and results'!$B$21+1),-'2. Inputs and results'!$B$121*A47," ")</f>
        <v xml:space="preserve"> </v>
      </c>
      <c r="AF47" t="e">
        <f>IF(A47&lt;('2. Inputs and results'!$B$21+1),AE47/1000,NA())</f>
        <v>#N/A</v>
      </c>
    </row>
    <row r="48" spans="1:32" x14ac:dyDescent="0.25">
      <c r="A48">
        <f t="shared" si="0"/>
        <v>43</v>
      </c>
      <c r="B48" t="str">
        <f>IF(A48&lt;('2. Inputs and results'!$B$21+1),A48," ")</f>
        <v xml:space="preserve"> </v>
      </c>
      <c r="C48" s="4" t="str">
        <f>IF(A48&lt;('2. Inputs and results'!$B$21+1),'2. Inputs and results'!$B$99+'2. Inputs and results'!$B$101," ")</f>
        <v xml:space="preserve"> </v>
      </c>
      <c r="D48" s="4" t="e">
        <f>IF(A48&lt;('2. Inputs and results'!$B$21+1),D47+C48,NA())</f>
        <v>#N/A</v>
      </c>
      <c r="E48" s="4" t="str">
        <f>IF(B48&lt;('2. Inputs and results'!$B$21+1),C48/((1+$P$2)^A48)," ")</f>
        <v xml:space="preserve"> </v>
      </c>
      <c r="F48" s="4" t="str">
        <f>IF(A48&lt;('2. Inputs and results'!$B$21+1),F47+E48," ")</f>
        <v xml:space="preserve"> </v>
      </c>
      <c r="G48" s="4" t="str">
        <f>IF(A48&lt;('2. Inputs and results'!$B$21+1),G47*(1+'2. Inputs and results'!$B$46)," ")</f>
        <v xml:space="preserve"> </v>
      </c>
      <c r="H48" s="4" t="str">
        <f>IF(A48&lt;('2. Inputs and results'!$B$21+1),H47*(1+'2. Inputs and results'!$B$58)," ")</f>
        <v xml:space="preserve"> </v>
      </c>
      <c r="I48" s="4" t="str">
        <f>IF(A48&lt;('2. Inputs and results'!$B$21+1),I47*(1+'2. Inputs and results'!$B$34)," ")</f>
        <v xml:space="preserve"> </v>
      </c>
      <c r="J48" s="4" t="str">
        <f>IF(A48&lt;('2. Inputs and results'!$B$21+1),J47*(1+'2. Inputs and results'!$B$68)," ")</f>
        <v xml:space="preserve"> </v>
      </c>
      <c r="K48" s="4" t="e">
        <f>IF('Solution 1, (hidden) (2)'!A48&lt;('2. Inputs and results'!$B$21+1),K47+(G48+I48+H48+J48),NA())</f>
        <v>#N/A</v>
      </c>
      <c r="L48" s="4" t="e">
        <f>IF(A48&lt;('2. Inputs and results'!$B$21+1),L47,NA())</f>
        <v>#N/A</v>
      </c>
      <c r="M48" s="4" t="str">
        <f>IF(A48&lt;('2. Inputs and results'!$B$21+1),'2. Inputs and results'!$B$75*'2. Inputs and results'!$B$73," ")</f>
        <v xml:space="preserve"> </v>
      </c>
      <c r="N48" s="4" t="str">
        <f>IF(A48&lt;('2. Inputs and results'!$B$21+1),M48/((1+$P$2)^A48)," ")</f>
        <v xml:space="preserve"> </v>
      </c>
      <c r="O48" s="4" t="str">
        <f>IF(A48&lt;('2. Inputs and results'!$B$21+1),'2. Inputs and results'!$B$73*'2. Inputs and results'!$B$75+O47," ")</f>
        <v xml:space="preserve"> </v>
      </c>
      <c r="P48" s="4" t="str">
        <f>IF(A48&lt;('2. Inputs and results'!$B$21+1),(G48+I48+H48+J48)/((1+$P$2)^A48)," ")</f>
        <v xml:space="preserve"> </v>
      </c>
      <c r="Q48" s="4" t="str">
        <f>IF(A48&lt;('2. Inputs and results'!$B$21+1),Q47+P48," ")</f>
        <v xml:space="preserve"> </v>
      </c>
      <c r="R48" s="4" t="e">
        <f>IF(A48&lt;('2. Inputs and results'!$B$21+1),R47+G48+I48+H48+J48+T48-$V$6,NA())</f>
        <v>#N/A</v>
      </c>
      <c r="S48" s="4" t="str">
        <f>IF(A48&lt;('2. Inputs and results'!$B$21+1),'2. Inputs and results'!$B$79*(R47)," ")</f>
        <v xml:space="preserve"> </v>
      </c>
      <c r="T48" s="4">
        <f t="shared" si="1"/>
        <v>0</v>
      </c>
      <c r="U48" s="4" t="e">
        <f>IF(A48&lt;('2. Inputs and results'!$B$21+1),U47+(T48+I48+G48+H48+J48-$V$6)/((1+$P$2)^A48),NA())</f>
        <v>#N/A</v>
      </c>
      <c r="V48" s="4" t="str">
        <f>IF(A48&lt;('2. Inputs and results'!$B$21+1),V47+('2. Inputs and results'!$B$75*'2. Inputs and results'!$B$73)," ")</f>
        <v xml:space="preserve"> </v>
      </c>
      <c r="W48" s="4" t="e">
        <f>IF(A48&lt;('2. Inputs and results'!$B$21+1),W47+C48+Y48-$V$6,NA())</f>
        <v>#N/A</v>
      </c>
      <c r="X48" s="4" t="str">
        <f>IF(A48&lt;('2. Inputs and results'!$B$21+1),'2. Inputs and results'!$B$79*W47," ")</f>
        <v xml:space="preserve"> </v>
      </c>
      <c r="Y48" s="4">
        <f t="shared" si="2"/>
        <v>0</v>
      </c>
      <c r="Z48" s="4" t="e">
        <f>IF(A48&lt;('2. Inputs and results'!$B$21+1),Z47+(C48-$V$6+Y48)/((1+$P$2)^A48),NA())</f>
        <v>#N/A</v>
      </c>
      <c r="AA48" s="4" t="str">
        <f>IF(A48&lt;('2. Inputs and results'!$B$21+1),AA47+(G48+I48+H48+T48-$V$6)," ")</f>
        <v xml:space="preserve"> </v>
      </c>
      <c r="AB48" s="20" t="e">
        <f>IF(A48&lt;('2. Inputs and results'!$B$21+1),AA48/L48,NA())</f>
        <v>#N/A</v>
      </c>
      <c r="AC48" s="29" t="str">
        <f>IF(A48&lt;('2. Inputs and results'!$B$21+1),AC47+(C48+Y48-$V$6)," ")</f>
        <v xml:space="preserve"> </v>
      </c>
      <c r="AD48" s="20" t="e">
        <f>IF(A48&lt;('2. Inputs and results'!$B$21+1),AC48/L48,NA())</f>
        <v>#N/A</v>
      </c>
      <c r="AE48" t="str">
        <f>IF(A48&lt;('2. Inputs and results'!$B$21+1),-'2. Inputs and results'!$B$121*A48," ")</f>
        <v xml:space="preserve"> </v>
      </c>
      <c r="AF48" t="e">
        <f>IF(A48&lt;('2. Inputs and results'!$B$21+1),AE48/1000,NA())</f>
        <v>#N/A</v>
      </c>
    </row>
    <row r="49" spans="1:32" x14ac:dyDescent="0.25">
      <c r="A49">
        <f t="shared" si="0"/>
        <v>44</v>
      </c>
      <c r="B49" t="str">
        <f>IF(A49&lt;('2. Inputs and results'!$B$21+1),A49," ")</f>
        <v xml:space="preserve"> </v>
      </c>
      <c r="C49" s="4" t="str">
        <f>IF(A49&lt;('2. Inputs and results'!$B$21+1),'2. Inputs and results'!$B$99+'2. Inputs and results'!$B$101," ")</f>
        <v xml:space="preserve"> </v>
      </c>
      <c r="D49" s="4" t="e">
        <f>IF(A49&lt;('2. Inputs and results'!$B$21+1),D48+C49,NA())</f>
        <v>#N/A</v>
      </c>
      <c r="E49" s="4" t="str">
        <f>IF(B49&lt;('2. Inputs and results'!$B$21+1),C49/((1+$P$2)^A49)," ")</f>
        <v xml:space="preserve"> </v>
      </c>
      <c r="F49" s="4" t="str">
        <f>IF(A49&lt;('2. Inputs and results'!$B$21+1),F48+E49," ")</f>
        <v xml:space="preserve"> </v>
      </c>
      <c r="G49" s="4" t="str">
        <f>IF(A49&lt;('2. Inputs and results'!$B$21+1),G48*(1+'2. Inputs and results'!$B$46)," ")</f>
        <v xml:space="preserve"> </v>
      </c>
      <c r="H49" s="4" t="str">
        <f>IF(A49&lt;('2. Inputs and results'!$B$21+1),H48*(1+'2. Inputs and results'!$B$58)," ")</f>
        <v xml:space="preserve"> </v>
      </c>
      <c r="I49" s="4" t="str">
        <f>IF(A49&lt;('2. Inputs and results'!$B$21+1),I48*(1+'2. Inputs and results'!$B$34)," ")</f>
        <v xml:space="preserve"> </v>
      </c>
      <c r="J49" s="4" t="str">
        <f>IF(A49&lt;('2. Inputs and results'!$B$21+1),J48*(1+'2. Inputs and results'!$B$68)," ")</f>
        <v xml:space="preserve"> </v>
      </c>
      <c r="K49" s="4" t="e">
        <f>IF('Solution 1, (hidden) (2)'!A49&lt;('2. Inputs and results'!$B$21+1),K48+(G49+I49+H49+J49),NA())</f>
        <v>#N/A</v>
      </c>
      <c r="L49" s="4" t="e">
        <f>IF(A49&lt;('2. Inputs and results'!$B$21+1),L48,NA())</f>
        <v>#N/A</v>
      </c>
      <c r="M49" s="4" t="str">
        <f>IF(A49&lt;('2. Inputs and results'!$B$21+1),'2. Inputs and results'!$B$75*'2. Inputs and results'!$B$73," ")</f>
        <v xml:space="preserve"> </v>
      </c>
      <c r="N49" s="4" t="str">
        <f>IF(A49&lt;('2. Inputs and results'!$B$21+1),M49/((1+$P$2)^A49)," ")</f>
        <v xml:space="preserve"> </v>
      </c>
      <c r="O49" s="4" t="str">
        <f>IF(A49&lt;('2. Inputs and results'!$B$21+1),'2. Inputs and results'!$B$73*'2. Inputs and results'!$B$75+O48," ")</f>
        <v xml:space="preserve"> </v>
      </c>
      <c r="P49" s="4" t="str">
        <f>IF(A49&lt;('2. Inputs and results'!$B$21+1),(G49+I49+H49+J49)/((1+$P$2)^A49)," ")</f>
        <v xml:space="preserve"> </v>
      </c>
      <c r="Q49" s="4" t="str">
        <f>IF(A49&lt;('2. Inputs and results'!$B$21+1),Q48+P49," ")</f>
        <v xml:space="preserve"> </v>
      </c>
      <c r="R49" s="4" t="e">
        <f>IF(A49&lt;('2. Inputs and results'!$B$21+1),R48+G49+I49+H49+J49+T49-$V$6,NA())</f>
        <v>#N/A</v>
      </c>
      <c r="S49" s="4" t="str">
        <f>IF(A49&lt;('2. Inputs and results'!$B$21+1),'2. Inputs and results'!$B$79*(R48)," ")</f>
        <v xml:space="preserve"> </v>
      </c>
      <c r="T49" s="4">
        <f t="shared" si="1"/>
        <v>0</v>
      </c>
      <c r="U49" s="4" t="e">
        <f>IF(A49&lt;('2. Inputs and results'!$B$21+1),U48+(T49+I49+G49+H49+J49-$V$6)/((1+$P$2)^A49),NA())</f>
        <v>#N/A</v>
      </c>
      <c r="V49" s="4" t="str">
        <f>IF(A49&lt;('2. Inputs and results'!$B$21+1),V48+('2. Inputs and results'!$B$75*'2. Inputs and results'!$B$73)," ")</f>
        <v xml:space="preserve"> </v>
      </c>
      <c r="W49" s="4" t="e">
        <f>IF(A49&lt;('2. Inputs and results'!$B$21+1),W48+C49+Y49-$V$6,NA())</f>
        <v>#N/A</v>
      </c>
      <c r="X49" s="4" t="str">
        <f>IF(A49&lt;('2. Inputs and results'!$B$21+1),'2. Inputs and results'!$B$79*W48," ")</f>
        <v xml:space="preserve"> </v>
      </c>
      <c r="Y49" s="4">
        <f t="shared" si="2"/>
        <v>0</v>
      </c>
      <c r="Z49" s="4" t="e">
        <f>IF(A49&lt;('2. Inputs and results'!$B$21+1),Z48+(C49-$V$6+Y49)/((1+$P$2)^A49),NA())</f>
        <v>#N/A</v>
      </c>
      <c r="AA49" s="4" t="str">
        <f>IF(A49&lt;('2. Inputs and results'!$B$21+1),AA48+(G49+I49+H49+T49-$V$6)," ")</f>
        <v xml:space="preserve"> </v>
      </c>
      <c r="AB49" s="20" t="e">
        <f>IF(A49&lt;('2. Inputs and results'!$B$21+1),AA49/L49,NA())</f>
        <v>#N/A</v>
      </c>
      <c r="AC49" s="29" t="str">
        <f>IF(A49&lt;('2. Inputs and results'!$B$21+1),AC48+(C49+Y49-$V$6)," ")</f>
        <v xml:space="preserve"> </v>
      </c>
      <c r="AD49" s="20" t="e">
        <f>IF(A49&lt;('2. Inputs and results'!$B$21+1),AC49/L49,NA())</f>
        <v>#N/A</v>
      </c>
      <c r="AE49" t="str">
        <f>IF(A49&lt;('2. Inputs and results'!$B$21+1),-'2. Inputs and results'!$B$121*A49," ")</f>
        <v xml:space="preserve"> </v>
      </c>
      <c r="AF49" t="e">
        <f>IF(A49&lt;('2. Inputs and results'!$B$21+1),AE49/1000,NA())</f>
        <v>#N/A</v>
      </c>
    </row>
    <row r="50" spans="1:32" x14ac:dyDescent="0.25">
      <c r="A50">
        <f t="shared" si="0"/>
        <v>45</v>
      </c>
      <c r="B50" t="str">
        <f>IF(A50&lt;('2. Inputs and results'!$B$21+1),A50," ")</f>
        <v xml:space="preserve"> </v>
      </c>
      <c r="C50" s="4" t="str">
        <f>IF(A50&lt;('2. Inputs and results'!$B$21+1),'2. Inputs and results'!$B$99+'2. Inputs and results'!$B$101," ")</f>
        <v xml:space="preserve"> </v>
      </c>
      <c r="D50" s="4" t="e">
        <f>IF(A50&lt;('2. Inputs and results'!$B$21+1),D49+C50,NA())</f>
        <v>#N/A</v>
      </c>
      <c r="E50" s="4" t="str">
        <f>IF(B50&lt;('2. Inputs and results'!$B$21+1),C50/((1+$P$2)^A50)," ")</f>
        <v xml:space="preserve"> </v>
      </c>
      <c r="F50" s="4" t="str">
        <f>IF(A50&lt;('2. Inputs and results'!$B$21+1),F49+E50," ")</f>
        <v xml:space="preserve"> </v>
      </c>
      <c r="G50" s="4" t="str">
        <f>IF(A50&lt;('2. Inputs and results'!$B$21+1),G49*(1+'2. Inputs and results'!$B$46)," ")</f>
        <v xml:space="preserve"> </v>
      </c>
      <c r="H50" s="4" t="str">
        <f>IF(A50&lt;('2. Inputs and results'!$B$21+1),H49*(1+'2. Inputs and results'!$B$58)," ")</f>
        <v xml:space="preserve"> </v>
      </c>
      <c r="I50" s="4" t="str">
        <f>IF(A50&lt;('2. Inputs and results'!$B$21+1),I49*(1+'2. Inputs and results'!$B$34)," ")</f>
        <v xml:space="preserve"> </v>
      </c>
      <c r="J50" s="4" t="str">
        <f>IF(A50&lt;('2. Inputs and results'!$B$21+1),J49*(1+'2. Inputs and results'!$B$68)," ")</f>
        <v xml:space="preserve"> </v>
      </c>
      <c r="K50" s="4" t="e">
        <f>IF('Solution 1, (hidden) (2)'!A50&lt;('2. Inputs and results'!$B$21+1),K49+(G50+I50+H50+J50),NA())</f>
        <v>#N/A</v>
      </c>
      <c r="L50" s="4" t="e">
        <f>IF(A50&lt;('2. Inputs and results'!$B$21+1),L49,NA())</f>
        <v>#N/A</v>
      </c>
      <c r="M50" s="4" t="str">
        <f>IF(A50&lt;('2. Inputs and results'!$B$21+1),'2. Inputs and results'!$B$75*'2. Inputs and results'!$B$73," ")</f>
        <v xml:space="preserve"> </v>
      </c>
      <c r="N50" s="4" t="str">
        <f>IF(A50&lt;('2. Inputs and results'!$B$21+1),M50/((1+$P$2)^A50)," ")</f>
        <v xml:space="preserve"> </v>
      </c>
      <c r="O50" s="4" t="str">
        <f>IF(A50&lt;('2. Inputs and results'!$B$21+1),'2. Inputs and results'!$B$73*'2. Inputs and results'!$B$75+O49," ")</f>
        <v xml:space="preserve"> </v>
      </c>
      <c r="P50" s="4" t="str">
        <f>IF(A50&lt;('2. Inputs and results'!$B$21+1),(G50+I50+H50+J50)/((1+$P$2)^A50)," ")</f>
        <v xml:space="preserve"> </v>
      </c>
      <c r="Q50" s="4" t="str">
        <f>IF(A50&lt;('2. Inputs and results'!$B$21+1),Q49+P50," ")</f>
        <v xml:space="preserve"> </v>
      </c>
      <c r="R50" s="4" t="e">
        <f>IF(A50&lt;('2. Inputs and results'!$B$21+1),R49+G50+I50+H50+J50+T50-$V$6,NA())</f>
        <v>#N/A</v>
      </c>
      <c r="S50" s="4" t="str">
        <f>IF(A50&lt;('2. Inputs and results'!$B$21+1),'2. Inputs and results'!$B$79*(R49)," ")</f>
        <v xml:space="preserve"> </v>
      </c>
      <c r="T50" s="4">
        <f t="shared" si="1"/>
        <v>0</v>
      </c>
      <c r="U50" s="4" t="e">
        <f>IF(A50&lt;('2. Inputs and results'!$B$21+1),U49+(T50+I50+G50+H50+J50-$V$6)/((1+$P$2)^A50),NA())</f>
        <v>#N/A</v>
      </c>
      <c r="V50" s="4" t="str">
        <f>IF(A50&lt;('2. Inputs and results'!$B$21+1),V49+('2. Inputs and results'!$B$75*'2. Inputs and results'!$B$73)," ")</f>
        <v xml:space="preserve"> </v>
      </c>
      <c r="W50" s="4" t="e">
        <f>IF(A50&lt;('2. Inputs and results'!$B$21+1),W49+C50+Y50-$V$6,NA())</f>
        <v>#N/A</v>
      </c>
      <c r="X50" s="4" t="str">
        <f>IF(A50&lt;('2. Inputs and results'!$B$21+1),'2. Inputs and results'!$B$79*W49," ")</f>
        <v xml:space="preserve"> </v>
      </c>
      <c r="Y50" s="4">
        <f t="shared" si="2"/>
        <v>0</v>
      </c>
      <c r="Z50" s="4" t="e">
        <f>IF(A50&lt;('2. Inputs and results'!$B$21+1),Z49+(C50-$V$6+Y50)/((1+$P$2)^A50),NA())</f>
        <v>#N/A</v>
      </c>
      <c r="AA50" s="4" t="str">
        <f>IF(A50&lt;('2. Inputs and results'!$B$21+1),AA49+(G50+I50+H50+T50-$V$6)," ")</f>
        <v xml:space="preserve"> </v>
      </c>
      <c r="AB50" s="20" t="e">
        <f>IF(A50&lt;('2. Inputs and results'!$B$21+1),AA50/L50,NA())</f>
        <v>#N/A</v>
      </c>
      <c r="AC50" s="29" t="str">
        <f>IF(A50&lt;('2. Inputs and results'!$B$21+1),AC49+(C50+Y50-$V$6)," ")</f>
        <v xml:space="preserve"> </v>
      </c>
      <c r="AD50" s="20" t="e">
        <f>IF(A50&lt;('2. Inputs and results'!$B$21+1),AC50/L50,NA())</f>
        <v>#N/A</v>
      </c>
      <c r="AE50" t="str">
        <f>IF(A50&lt;('2. Inputs and results'!$B$21+1),-'2. Inputs and results'!$B$121*A50," ")</f>
        <v xml:space="preserve"> </v>
      </c>
      <c r="AF50" t="e">
        <f>IF(A50&lt;('2. Inputs and results'!$B$21+1),AE50/1000,NA())</f>
        <v>#N/A</v>
      </c>
    </row>
    <row r="51" spans="1:32" x14ac:dyDescent="0.25">
      <c r="A51">
        <f t="shared" si="0"/>
        <v>46</v>
      </c>
      <c r="B51" t="str">
        <f>IF(A51&lt;('2. Inputs and results'!$B$21+1),A51," ")</f>
        <v xml:space="preserve"> </v>
      </c>
      <c r="C51" s="4" t="str">
        <f>IF(A51&lt;('2. Inputs and results'!$B$21+1),'2. Inputs and results'!$B$99+'2. Inputs and results'!$B$101," ")</f>
        <v xml:space="preserve"> </v>
      </c>
      <c r="D51" s="4" t="e">
        <f>IF(A51&lt;('2. Inputs and results'!$B$21+1),D50+C51,NA())</f>
        <v>#N/A</v>
      </c>
      <c r="E51" s="4" t="str">
        <f>IF(B51&lt;('2. Inputs and results'!$B$21+1),C51/((1+$P$2)^A51)," ")</f>
        <v xml:space="preserve"> </v>
      </c>
      <c r="F51" s="4" t="str">
        <f>IF(A51&lt;('2. Inputs and results'!$B$21+1),F50+E51," ")</f>
        <v xml:space="preserve"> </v>
      </c>
      <c r="G51" s="4" t="str">
        <f>IF(A51&lt;('2. Inputs and results'!$B$21+1),G50*(1+'2. Inputs and results'!$B$46)," ")</f>
        <v xml:space="preserve"> </v>
      </c>
      <c r="H51" s="4" t="str">
        <f>IF(A51&lt;('2. Inputs and results'!$B$21+1),H50*(1+'2. Inputs and results'!$B$58)," ")</f>
        <v xml:space="preserve"> </v>
      </c>
      <c r="I51" s="4" t="str">
        <f>IF(A51&lt;('2. Inputs and results'!$B$21+1),I50*(1+'2. Inputs and results'!$B$34)," ")</f>
        <v xml:space="preserve"> </v>
      </c>
      <c r="J51" s="4" t="str">
        <f>IF(A51&lt;('2. Inputs and results'!$B$21+1),J50*(1+'2. Inputs and results'!$B$68)," ")</f>
        <v xml:space="preserve"> </v>
      </c>
      <c r="K51" s="4" t="e">
        <f>IF('Solution 1, (hidden) (2)'!A51&lt;('2. Inputs and results'!$B$21+1),K50+(G51+I51+H51+J51),NA())</f>
        <v>#N/A</v>
      </c>
      <c r="L51" s="4" t="e">
        <f>IF(A51&lt;('2. Inputs and results'!$B$21+1),L50,NA())</f>
        <v>#N/A</v>
      </c>
      <c r="M51" s="4" t="str">
        <f>IF(A51&lt;('2. Inputs and results'!$B$21+1),'2. Inputs and results'!$B$75*'2. Inputs and results'!$B$73," ")</f>
        <v xml:space="preserve"> </v>
      </c>
      <c r="N51" s="4" t="str">
        <f>IF(A51&lt;('2. Inputs and results'!$B$21+1),M51/((1+$P$2)^A51)," ")</f>
        <v xml:space="preserve"> </v>
      </c>
      <c r="O51" s="4" t="str">
        <f>IF(A51&lt;('2. Inputs and results'!$B$21+1),'2. Inputs and results'!$B$73*'2. Inputs and results'!$B$75+O50," ")</f>
        <v xml:space="preserve"> </v>
      </c>
      <c r="P51" s="4" t="str">
        <f>IF(A51&lt;('2. Inputs and results'!$B$21+1),(G51+I51+H51+J51)/((1+$P$2)^A51)," ")</f>
        <v xml:space="preserve"> </v>
      </c>
      <c r="Q51" s="4" t="str">
        <f>IF(A51&lt;('2. Inputs and results'!$B$21+1),Q50+P51," ")</f>
        <v xml:space="preserve"> </v>
      </c>
      <c r="R51" s="4" t="e">
        <f>IF(A51&lt;('2. Inputs and results'!$B$21+1),R50+G51+I51+H51+J51+T51-$V$6,NA())</f>
        <v>#N/A</v>
      </c>
      <c r="S51" s="4" t="str">
        <f>IF(A51&lt;('2. Inputs and results'!$B$21+1),'2. Inputs and results'!$B$79*(R50)," ")</f>
        <v xml:space="preserve"> </v>
      </c>
      <c r="T51" s="4">
        <f t="shared" si="1"/>
        <v>0</v>
      </c>
      <c r="U51" s="4" t="e">
        <f>IF(A51&lt;('2. Inputs and results'!$B$21+1),U50+(T51+I51+G51+H51+J51-$V$6)/((1+$P$2)^A51),NA())</f>
        <v>#N/A</v>
      </c>
      <c r="V51" s="4" t="str">
        <f>IF(A51&lt;('2. Inputs and results'!$B$21+1),V50+('2. Inputs and results'!$B$75*'2. Inputs and results'!$B$73)," ")</f>
        <v xml:space="preserve"> </v>
      </c>
      <c r="W51" s="4" t="e">
        <f>IF(A51&lt;('2. Inputs and results'!$B$21+1),W50+C51+Y51-$V$6,NA())</f>
        <v>#N/A</v>
      </c>
      <c r="X51" s="4" t="str">
        <f>IF(A51&lt;('2. Inputs and results'!$B$21+1),'2. Inputs and results'!$B$79*W50," ")</f>
        <v xml:space="preserve"> </v>
      </c>
      <c r="Y51" s="4">
        <f t="shared" si="2"/>
        <v>0</v>
      </c>
      <c r="Z51" s="4" t="e">
        <f>IF(A51&lt;('2. Inputs and results'!$B$21+1),Z50+(C51-$V$6+Y51)/((1+$P$2)^A51),NA())</f>
        <v>#N/A</v>
      </c>
      <c r="AA51" s="4" t="str">
        <f>IF(A51&lt;('2. Inputs and results'!$B$21+1),AA50+(G51+I51+H51+T51-$V$6)," ")</f>
        <v xml:space="preserve"> </v>
      </c>
      <c r="AB51" s="20" t="e">
        <f>IF(A51&lt;('2. Inputs and results'!$B$21+1),AA51/L51,NA())</f>
        <v>#N/A</v>
      </c>
      <c r="AC51" s="29" t="str">
        <f>IF(A51&lt;('2. Inputs and results'!$B$21+1),AC50+(C51+Y51-$V$6)," ")</f>
        <v xml:space="preserve"> </v>
      </c>
      <c r="AD51" s="20" t="e">
        <f>IF(A51&lt;('2. Inputs and results'!$B$21+1),AC51/L51,NA())</f>
        <v>#N/A</v>
      </c>
      <c r="AE51" t="str">
        <f>IF(A51&lt;('2. Inputs and results'!$B$21+1),-'2. Inputs and results'!$B$121*A51," ")</f>
        <v xml:space="preserve"> </v>
      </c>
      <c r="AF51" t="e">
        <f>IF(A51&lt;('2. Inputs and results'!$B$21+1),AE51/1000,NA())</f>
        <v>#N/A</v>
      </c>
    </row>
    <row r="52" spans="1:32" x14ac:dyDescent="0.25">
      <c r="A52">
        <f t="shared" si="0"/>
        <v>47</v>
      </c>
      <c r="B52" t="str">
        <f>IF(A52&lt;('2. Inputs and results'!$B$21+1),A52," ")</f>
        <v xml:space="preserve"> </v>
      </c>
      <c r="C52" s="4" t="str">
        <f>IF(A52&lt;('2. Inputs and results'!$B$21+1),'2. Inputs and results'!$B$99+'2. Inputs and results'!$B$101," ")</f>
        <v xml:space="preserve"> </v>
      </c>
      <c r="D52" s="4" t="e">
        <f>IF(A52&lt;('2. Inputs and results'!$B$21+1),D51+C52,NA())</f>
        <v>#N/A</v>
      </c>
      <c r="E52" s="4" t="str">
        <f>IF(B52&lt;('2. Inputs and results'!$B$21+1),C52/((1+$P$2)^A52)," ")</f>
        <v xml:space="preserve"> </v>
      </c>
      <c r="F52" s="4" t="str">
        <f>IF(A52&lt;('2. Inputs and results'!$B$21+1),F51+E52," ")</f>
        <v xml:space="preserve"> </v>
      </c>
      <c r="G52" s="4" t="str">
        <f>IF(A52&lt;('2. Inputs and results'!$B$21+1),G51*(1+'2. Inputs and results'!$B$46)," ")</f>
        <v xml:space="preserve"> </v>
      </c>
      <c r="H52" s="4" t="str">
        <f>IF(A52&lt;('2. Inputs and results'!$B$21+1),H51*(1+'2. Inputs and results'!$B$58)," ")</f>
        <v xml:space="preserve"> </v>
      </c>
      <c r="I52" s="4" t="str">
        <f>IF(A52&lt;('2. Inputs and results'!$B$21+1),I51*(1+'2. Inputs and results'!$B$34)," ")</f>
        <v xml:space="preserve"> </v>
      </c>
      <c r="J52" s="4" t="str">
        <f>IF(A52&lt;('2. Inputs and results'!$B$21+1),J51*(1+'2. Inputs and results'!$B$68)," ")</f>
        <v xml:space="preserve"> </v>
      </c>
      <c r="K52" s="4" t="e">
        <f>IF('Solution 1, (hidden) (2)'!A52&lt;('2. Inputs and results'!$B$21+1),K51+(G52+I52+H52+J52),NA())</f>
        <v>#N/A</v>
      </c>
      <c r="L52" s="4" t="e">
        <f>IF(A52&lt;('2. Inputs and results'!$B$21+1),L51,NA())</f>
        <v>#N/A</v>
      </c>
      <c r="M52" s="4" t="str">
        <f>IF(A52&lt;('2. Inputs and results'!$B$21+1),'2. Inputs and results'!$B$75*'2. Inputs and results'!$B$73," ")</f>
        <v xml:space="preserve"> </v>
      </c>
      <c r="N52" s="4" t="str">
        <f>IF(A52&lt;('2. Inputs and results'!$B$21+1),M52/((1+$P$2)^A52)," ")</f>
        <v xml:space="preserve"> </v>
      </c>
      <c r="O52" s="4" t="str">
        <f>IF(A52&lt;('2. Inputs and results'!$B$21+1),'2. Inputs and results'!$B$73*'2. Inputs and results'!$B$75+O51," ")</f>
        <v xml:space="preserve"> </v>
      </c>
      <c r="P52" s="4" t="str">
        <f>IF(A52&lt;('2. Inputs and results'!$B$21+1),(G52+I52+H52+J52)/((1+$P$2)^A52)," ")</f>
        <v xml:space="preserve"> </v>
      </c>
      <c r="Q52" s="4" t="str">
        <f>IF(A52&lt;('2. Inputs and results'!$B$21+1),Q51+P52," ")</f>
        <v xml:space="preserve"> </v>
      </c>
      <c r="R52" s="4" t="e">
        <f>IF(A52&lt;('2. Inputs and results'!$B$21+1),R51+G52+I52+H52+J52+T52-$V$6,NA())</f>
        <v>#N/A</v>
      </c>
      <c r="S52" s="4" t="str">
        <f>IF(A52&lt;('2. Inputs and results'!$B$21+1),'2. Inputs and results'!$B$79*(R51)," ")</f>
        <v xml:space="preserve"> </v>
      </c>
      <c r="T52" s="4">
        <f t="shared" si="1"/>
        <v>0</v>
      </c>
      <c r="U52" s="4" t="e">
        <f>IF(A52&lt;('2. Inputs and results'!$B$21+1),U51+(T52+I52+G52+H52+J52-$V$6)/((1+$P$2)^A52),NA())</f>
        <v>#N/A</v>
      </c>
      <c r="V52" s="4" t="str">
        <f>IF(A52&lt;('2. Inputs and results'!$B$21+1),V51+('2. Inputs and results'!$B$75*'2. Inputs and results'!$B$73)," ")</f>
        <v xml:space="preserve"> </v>
      </c>
      <c r="W52" s="4" t="e">
        <f>IF(A52&lt;('2. Inputs and results'!$B$21+1),W51+C52+Y52-$V$6,NA())</f>
        <v>#N/A</v>
      </c>
      <c r="X52" s="4" t="str">
        <f>IF(A52&lt;('2. Inputs and results'!$B$21+1),'2. Inputs and results'!$B$79*W51," ")</f>
        <v xml:space="preserve"> </v>
      </c>
      <c r="Y52" s="4">
        <f t="shared" si="2"/>
        <v>0</v>
      </c>
      <c r="Z52" s="4" t="e">
        <f>IF(A52&lt;('2. Inputs and results'!$B$21+1),Z51+(C52-$V$6+Y52)/((1+$P$2)^A52),NA())</f>
        <v>#N/A</v>
      </c>
      <c r="AA52" s="4" t="str">
        <f>IF(A52&lt;('2. Inputs and results'!$B$21+1),AA51+(G52+I52+H52+T52-$V$6)," ")</f>
        <v xml:space="preserve"> </v>
      </c>
      <c r="AB52" s="20" t="e">
        <f>IF(A52&lt;('2. Inputs and results'!$B$21+1),AA52/L52,NA())</f>
        <v>#N/A</v>
      </c>
      <c r="AC52" s="29" t="str">
        <f>IF(A52&lt;('2. Inputs and results'!$B$21+1),AC51+(C52+Y52-$V$6)," ")</f>
        <v xml:space="preserve"> </v>
      </c>
      <c r="AD52" s="20" t="e">
        <f>IF(A52&lt;('2. Inputs and results'!$B$21+1),AC52/L52,NA())</f>
        <v>#N/A</v>
      </c>
      <c r="AE52" t="str">
        <f>IF(A52&lt;('2. Inputs and results'!$B$21+1),-'2. Inputs and results'!$B$121*A52," ")</f>
        <v xml:space="preserve"> </v>
      </c>
      <c r="AF52" t="e">
        <f>IF(A52&lt;('2. Inputs and results'!$B$21+1),AE52/1000,NA())</f>
        <v>#N/A</v>
      </c>
    </row>
    <row r="53" spans="1:32" x14ac:dyDescent="0.25">
      <c r="A53">
        <f t="shared" si="0"/>
        <v>48</v>
      </c>
      <c r="B53" t="str">
        <f>IF(A53&lt;('2. Inputs and results'!$B$21+1),A53," ")</f>
        <v xml:space="preserve"> </v>
      </c>
      <c r="C53" s="4" t="str">
        <f>IF(A53&lt;('2. Inputs and results'!$B$21+1),'2. Inputs and results'!$B$99+'2. Inputs and results'!$B$101," ")</f>
        <v xml:space="preserve"> </v>
      </c>
      <c r="D53" s="4" t="e">
        <f>IF(A53&lt;('2. Inputs and results'!$B$21+1),D52+C53,NA())</f>
        <v>#N/A</v>
      </c>
      <c r="E53" s="4" t="str">
        <f>IF(B53&lt;('2. Inputs and results'!$B$21+1),C53/((1+$P$2)^A53)," ")</f>
        <v xml:space="preserve"> </v>
      </c>
      <c r="F53" s="4" t="str">
        <f>IF(A53&lt;('2. Inputs and results'!$B$21+1),F52+E53," ")</f>
        <v xml:space="preserve"> </v>
      </c>
      <c r="G53" s="4" t="str">
        <f>IF(A53&lt;('2. Inputs and results'!$B$21+1),G52*(1+'2. Inputs and results'!$B$46)," ")</f>
        <v xml:space="preserve"> </v>
      </c>
      <c r="H53" s="4" t="str">
        <f>IF(A53&lt;('2. Inputs and results'!$B$21+1),H52*(1+'2. Inputs and results'!$B$58)," ")</f>
        <v xml:space="preserve"> </v>
      </c>
      <c r="I53" s="4" t="str">
        <f>IF(A53&lt;('2. Inputs and results'!$B$21+1),I52*(1+'2. Inputs and results'!$B$34)," ")</f>
        <v xml:space="preserve"> </v>
      </c>
      <c r="J53" s="4" t="str">
        <f>IF(A53&lt;('2. Inputs and results'!$B$21+1),J52*(1+'2. Inputs and results'!$B$68)," ")</f>
        <v xml:space="preserve"> </v>
      </c>
      <c r="K53" s="4" t="e">
        <f>IF('Solution 1, (hidden) (2)'!A53&lt;('2. Inputs and results'!$B$21+1),K52+(G53+I53+H53+J53),NA())</f>
        <v>#N/A</v>
      </c>
      <c r="L53" s="4" t="e">
        <f>IF(A53&lt;('2. Inputs and results'!$B$21+1),L52,NA())</f>
        <v>#N/A</v>
      </c>
      <c r="M53" s="4" t="str">
        <f>IF(A53&lt;('2. Inputs and results'!$B$21+1),'2. Inputs and results'!$B$75*'2. Inputs and results'!$B$73," ")</f>
        <v xml:space="preserve"> </v>
      </c>
      <c r="N53" s="4" t="str">
        <f>IF(A53&lt;('2. Inputs and results'!$B$21+1),M53/((1+$P$2)^A53)," ")</f>
        <v xml:space="preserve"> </v>
      </c>
      <c r="O53" s="4" t="str">
        <f>IF(A53&lt;('2. Inputs and results'!$B$21+1),'2. Inputs and results'!$B$73*'2. Inputs and results'!$B$75+O52," ")</f>
        <v xml:space="preserve"> </v>
      </c>
      <c r="P53" s="4" t="str">
        <f>IF(A53&lt;('2. Inputs and results'!$B$21+1),(G53+I53+H53+J53)/((1+$P$2)^A53)," ")</f>
        <v xml:space="preserve"> </v>
      </c>
      <c r="Q53" s="4" t="str">
        <f>IF(A53&lt;('2. Inputs and results'!$B$21+1),Q52+P53," ")</f>
        <v xml:space="preserve"> </v>
      </c>
      <c r="R53" s="4" t="e">
        <f>IF(A53&lt;('2. Inputs and results'!$B$21+1),R52+G53+I53+H53+J53+T53-$V$6,NA())</f>
        <v>#N/A</v>
      </c>
      <c r="S53" s="4" t="str">
        <f>IF(A53&lt;('2. Inputs and results'!$B$21+1),'2. Inputs and results'!$B$79*(R52)," ")</f>
        <v xml:space="preserve"> </v>
      </c>
      <c r="T53" s="4">
        <f t="shared" si="1"/>
        <v>0</v>
      </c>
      <c r="U53" s="4" t="e">
        <f>IF(A53&lt;('2. Inputs and results'!$B$21+1),U52+(T53+I53+G53+H53+J53-$V$6)/((1+$P$2)^A53),NA())</f>
        <v>#N/A</v>
      </c>
      <c r="V53" s="4" t="str">
        <f>IF(A53&lt;('2. Inputs and results'!$B$21+1),V52+('2. Inputs and results'!$B$75*'2. Inputs and results'!$B$73)," ")</f>
        <v xml:space="preserve"> </v>
      </c>
      <c r="W53" s="4" t="e">
        <f>IF(A53&lt;('2. Inputs and results'!$B$21+1),W52+C53+Y53-$V$6,NA())</f>
        <v>#N/A</v>
      </c>
      <c r="X53" s="4" t="str">
        <f>IF(A53&lt;('2. Inputs and results'!$B$21+1),'2. Inputs and results'!$B$79*W52," ")</f>
        <v xml:space="preserve"> </v>
      </c>
      <c r="Y53" s="4">
        <f t="shared" si="2"/>
        <v>0</v>
      </c>
      <c r="Z53" s="4" t="e">
        <f>IF(A53&lt;('2. Inputs and results'!$B$21+1),Z52+(C53-$V$6+Y53)/((1+$P$2)^A53),NA())</f>
        <v>#N/A</v>
      </c>
      <c r="AA53" s="4" t="str">
        <f>IF(A53&lt;('2. Inputs and results'!$B$21+1),AA52+(G53+I53+H53+T53-$V$6)," ")</f>
        <v xml:space="preserve"> </v>
      </c>
      <c r="AB53" s="20" t="e">
        <f>IF(A53&lt;('2. Inputs and results'!$B$21+1),AA53/L53,NA())</f>
        <v>#N/A</v>
      </c>
      <c r="AC53" s="29" t="str">
        <f>IF(A53&lt;('2. Inputs and results'!$B$21+1),AC52+(C53+Y53-$V$6)," ")</f>
        <v xml:space="preserve"> </v>
      </c>
      <c r="AD53" s="20" t="e">
        <f>IF(A53&lt;('2. Inputs and results'!$B$21+1),AC53/L53,NA())</f>
        <v>#N/A</v>
      </c>
      <c r="AE53" t="str">
        <f>IF(A53&lt;('2. Inputs and results'!$B$21+1),-'2. Inputs and results'!$B$121*A53," ")</f>
        <v xml:space="preserve"> </v>
      </c>
      <c r="AF53" t="e">
        <f>IF(A53&lt;('2. Inputs and results'!$B$21+1),AE53/1000,NA())</f>
        <v>#N/A</v>
      </c>
    </row>
    <row r="54" spans="1:32" x14ac:dyDescent="0.25">
      <c r="A54">
        <f t="shared" si="0"/>
        <v>49</v>
      </c>
      <c r="B54" t="str">
        <f>IF(A54&lt;('2. Inputs and results'!$B$21+1),A54," ")</f>
        <v xml:space="preserve"> </v>
      </c>
      <c r="C54" s="4" t="str">
        <f>IF(A54&lt;('2. Inputs and results'!$B$21+1),'2. Inputs and results'!$B$99+'2. Inputs and results'!$B$101," ")</f>
        <v xml:space="preserve"> </v>
      </c>
      <c r="D54" s="4" t="e">
        <f>IF(A54&lt;('2. Inputs and results'!$B$21+1),D53+C54,NA())</f>
        <v>#N/A</v>
      </c>
      <c r="E54" s="4" t="str">
        <f>IF(B54&lt;('2. Inputs and results'!$B$21+1),C54/((1+$P$2)^A54)," ")</f>
        <v xml:space="preserve"> </v>
      </c>
      <c r="F54" s="4" t="str">
        <f>IF(A54&lt;('2. Inputs and results'!$B$21+1),F53+E54," ")</f>
        <v xml:space="preserve"> </v>
      </c>
      <c r="G54" s="4" t="str">
        <f>IF(A54&lt;('2. Inputs and results'!$B$21+1),G53*(1+'2. Inputs and results'!$B$46)," ")</f>
        <v xml:space="preserve"> </v>
      </c>
      <c r="H54" s="4" t="str">
        <f>IF(A54&lt;('2. Inputs and results'!$B$21+1),H53*(1+'2. Inputs and results'!$B$58)," ")</f>
        <v xml:space="preserve"> </v>
      </c>
      <c r="I54" s="4" t="str">
        <f>IF(A54&lt;('2. Inputs and results'!$B$21+1),I53*(1+'2. Inputs and results'!$B$34)," ")</f>
        <v xml:space="preserve"> </v>
      </c>
      <c r="J54" s="4" t="str">
        <f>IF(A54&lt;('2. Inputs and results'!$B$21+1),J53*(1+'2. Inputs and results'!$B$68)," ")</f>
        <v xml:space="preserve"> </v>
      </c>
      <c r="K54" s="4" t="e">
        <f>IF('Solution 1, (hidden) (2)'!A54&lt;('2. Inputs and results'!$B$21+1),K53+(G54+I54+H54+J54),NA())</f>
        <v>#N/A</v>
      </c>
      <c r="L54" s="4" t="e">
        <f>IF(A54&lt;('2. Inputs and results'!$B$21+1),L53,NA())</f>
        <v>#N/A</v>
      </c>
      <c r="M54" s="4" t="str">
        <f>IF(A54&lt;('2. Inputs and results'!$B$21+1),'2. Inputs and results'!$B$75*'2. Inputs and results'!$B$73," ")</f>
        <v xml:space="preserve"> </v>
      </c>
      <c r="N54" s="4" t="str">
        <f>IF(A54&lt;('2. Inputs and results'!$B$21+1),M54/((1+$P$2)^A54)," ")</f>
        <v xml:space="preserve"> </v>
      </c>
      <c r="O54" s="4" t="str">
        <f>IF(A54&lt;('2. Inputs and results'!$B$21+1),'2. Inputs and results'!$B$73*'2. Inputs and results'!$B$75+O53," ")</f>
        <v xml:space="preserve"> </v>
      </c>
      <c r="P54" s="4" t="str">
        <f>IF(A54&lt;('2. Inputs and results'!$B$21+1),(G54+I54+H54+J54)/((1+$P$2)^A54)," ")</f>
        <v xml:space="preserve"> </v>
      </c>
      <c r="Q54" s="4" t="str">
        <f>IF(A54&lt;('2. Inputs and results'!$B$21+1),Q53+P54," ")</f>
        <v xml:space="preserve"> </v>
      </c>
      <c r="R54" s="4" t="e">
        <f>IF(A54&lt;('2. Inputs and results'!$B$21+1),R53+G54+I54+H54+J54+T54-$V$6,NA())</f>
        <v>#N/A</v>
      </c>
      <c r="S54" s="4" t="str">
        <f>IF(A54&lt;('2. Inputs and results'!$B$21+1),'2. Inputs and results'!$B$79*(R53)," ")</f>
        <v xml:space="preserve"> </v>
      </c>
      <c r="T54" s="4">
        <f t="shared" si="1"/>
        <v>0</v>
      </c>
      <c r="U54" s="4" t="e">
        <f>IF(A54&lt;('2. Inputs and results'!$B$21+1),U53+(T54+I54+G54+H54+J54-$V$6)/((1+$P$2)^A54),NA())</f>
        <v>#N/A</v>
      </c>
      <c r="V54" s="4" t="str">
        <f>IF(A54&lt;('2. Inputs and results'!$B$21+1),V53+('2. Inputs and results'!$B$75*'2. Inputs and results'!$B$73)," ")</f>
        <v xml:space="preserve"> </v>
      </c>
      <c r="W54" s="4" t="e">
        <f>IF(A54&lt;('2. Inputs and results'!$B$21+1),W53+C54+Y54-$V$6,NA())</f>
        <v>#N/A</v>
      </c>
      <c r="X54" s="4" t="str">
        <f>IF(A54&lt;('2. Inputs and results'!$B$21+1),'2. Inputs and results'!$B$79*W53," ")</f>
        <v xml:space="preserve"> </v>
      </c>
      <c r="Y54" s="4">
        <f t="shared" si="2"/>
        <v>0</v>
      </c>
      <c r="Z54" s="4" t="e">
        <f>IF(A54&lt;('2. Inputs and results'!$B$21+1),Z53+(C54-$V$6+Y54)/((1+$P$2)^A54),NA())</f>
        <v>#N/A</v>
      </c>
      <c r="AA54" s="4" t="str">
        <f>IF(A54&lt;('2. Inputs and results'!$B$21+1),AA53+(G54+I54+H54+T54-$V$6)," ")</f>
        <v xml:space="preserve"> </v>
      </c>
      <c r="AB54" s="20" t="e">
        <f>IF(A54&lt;('2. Inputs and results'!$B$21+1),AA54/L54,NA())</f>
        <v>#N/A</v>
      </c>
      <c r="AC54" s="29" t="str">
        <f>IF(A54&lt;('2. Inputs and results'!$B$21+1),AC53+(C54+Y54-$V$6)," ")</f>
        <v xml:space="preserve"> </v>
      </c>
      <c r="AD54" s="20" t="e">
        <f>IF(A54&lt;('2. Inputs and results'!$B$21+1),AC54/L54,NA())</f>
        <v>#N/A</v>
      </c>
      <c r="AE54" t="str">
        <f>IF(A54&lt;('2. Inputs and results'!$B$21+1),-'2. Inputs and results'!$B$121*A54," ")</f>
        <v xml:space="preserve"> </v>
      </c>
      <c r="AF54" t="e">
        <f>IF(A54&lt;('2. Inputs and results'!$B$21+1),AE54/1000,NA())</f>
        <v>#N/A</v>
      </c>
    </row>
    <row r="55" spans="1:32" x14ac:dyDescent="0.25">
      <c r="A55">
        <f t="shared" si="0"/>
        <v>50</v>
      </c>
      <c r="B55" t="str">
        <f>IF(A55&lt;('2. Inputs and results'!$B$21+1),A55," ")</f>
        <v xml:space="preserve"> </v>
      </c>
      <c r="C55" s="4" t="str">
        <f>IF(A55&lt;('2. Inputs and results'!$B$21+1),'2. Inputs and results'!$B$99+'2. Inputs and results'!$B$101," ")</f>
        <v xml:space="preserve"> </v>
      </c>
      <c r="D55" s="4" t="e">
        <f>IF(A55&lt;('2. Inputs and results'!$B$21+1),D54+C55,NA())</f>
        <v>#N/A</v>
      </c>
      <c r="E55" s="4" t="str">
        <f>IF(B55&lt;('2. Inputs and results'!$B$21+1),C55/((1+$P$2)^A55)," ")</f>
        <v xml:space="preserve"> </v>
      </c>
      <c r="F55" s="4" t="str">
        <f>IF(A55&lt;('2. Inputs and results'!$B$21+1),F54+E55," ")</f>
        <v xml:space="preserve"> </v>
      </c>
      <c r="G55" s="4" t="str">
        <f>IF(A55&lt;('2. Inputs and results'!$B$21+1),G54*(1+'2. Inputs and results'!$B$46)," ")</f>
        <v xml:space="preserve"> </v>
      </c>
      <c r="H55" s="4" t="str">
        <f>IF(A55&lt;('2. Inputs and results'!$B$21+1),H54*(1+'2. Inputs and results'!$B$58)," ")</f>
        <v xml:space="preserve"> </v>
      </c>
      <c r="I55" s="4" t="str">
        <f>IF(A55&lt;('2. Inputs and results'!$B$21+1),I54*(1+'2. Inputs and results'!$B$34)," ")</f>
        <v xml:space="preserve"> </v>
      </c>
      <c r="J55" s="4" t="str">
        <f>IF(A55&lt;('2. Inputs and results'!$B$21+1),J54*(1+'2. Inputs and results'!$B$68)," ")</f>
        <v xml:space="preserve"> </v>
      </c>
      <c r="K55" s="4" t="e">
        <f>IF('Solution 1, (hidden) (2)'!A55&lt;('2. Inputs and results'!$B$21+1),K54+(G55+I55+H55+J55),NA())</f>
        <v>#N/A</v>
      </c>
      <c r="L55" s="4" t="e">
        <f>IF(A55&lt;('2. Inputs and results'!$B$21+1),L54,NA())</f>
        <v>#N/A</v>
      </c>
      <c r="M55" s="4" t="str">
        <f>IF(A55&lt;('2. Inputs and results'!$B$21+1),'2. Inputs and results'!$B$75*'2. Inputs and results'!$B$73," ")</f>
        <v xml:space="preserve"> </v>
      </c>
      <c r="N55" s="4" t="str">
        <f>IF(A55&lt;('2. Inputs and results'!$B$21+1),M55/((1+$P$2)^A55)," ")</f>
        <v xml:space="preserve"> </v>
      </c>
      <c r="O55" s="4" t="str">
        <f>IF(A55&lt;('2. Inputs and results'!$B$21+1),'2. Inputs and results'!$B$73*'2. Inputs and results'!$B$75+O54," ")</f>
        <v xml:space="preserve"> </v>
      </c>
      <c r="P55" s="4" t="str">
        <f>IF(A55&lt;('2. Inputs and results'!$B$21+1),(G55+I55+H55+J55)/((1+$P$2)^A55)," ")</f>
        <v xml:space="preserve"> </v>
      </c>
      <c r="Q55" s="4" t="str">
        <f>IF(A55&lt;('2. Inputs and results'!$B$21+1),Q54+P55," ")</f>
        <v xml:space="preserve"> </v>
      </c>
      <c r="R55" s="4" t="e">
        <f>IF(A55&lt;('2. Inputs and results'!$B$21+1),R54+G55+I55+H55+J55+T55-$V$6,NA())</f>
        <v>#N/A</v>
      </c>
      <c r="S55" s="4" t="str">
        <f>IF(A55&lt;('2. Inputs and results'!$B$21+1),'2. Inputs and results'!$B$79*(R54)," ")</f>
        <v xml:space="preserve"> </v>
      </c>
      <c r="T55" s="4">
        <f t="shared" si="1"/>
        <v>0</v>
      </c>
      <c r="U55" s="4" t="e">
        <f>IF(A55&lt;('2. Inputs and results'!$B$21+1),U54+(T55+I55+G55+H55+J55-$V$6)/((1+$P$2)^A55),NA())</f>
        <v>#N/A</v>
      </c>
      <c r="V55" s="4" t="str">
        <f>IF(A55&lt;('2. Inputs and results'!$B$21+1),V54+('2. Inputs and results'!$B$75*'2. Inputs and results'!$B$73)," ")</f>
        <v xml:space="preserve"> </v>
      </c>
      <c r="W55" s="4" t="e">
        <f>IF(A55&lt;('2. Inputs and results'!$B$21+1),W54+C55+Y55-$V$6,NA())</f>
        <v>#N/A</v>
      </c>
      <c r="X55" s="4" t="str">
        <f>IF(A55&lt;('2. Inputs and results'!$B$21+1),'2. Inputs and results'!$B$79*W54," ")</f>
        <v xml:space="preserve"> </v>
      </c>
      <c r="Y55" s="4">
        <f t="shared" si="2"/>
        <v>0</v>
      </c>
      <c r="Z55" s="4" t="e">
        <f>IF(A55&lt;('2. Inputs and results'!$B$21+1),Z54+(C55-$V$6+Y55)/((1+$P$2)^A55),NA())</f>
        <v>#N/A</v>
      </c>
      <c r="AA55" s="4" t="str">
        <f>IF(A55&lt;('2. Inputs and results'!$B$21+1),AA54+(G55+I55+H55+T55-$V$6)," ")</f>
        <v xml:space="preserve"> </v>
      </c>
      <c r="AB55" s="20" t="e">
        <f>IF(A55&lt;('2. Inputs and results'!$B$21+1),AA55/L55,NA())</f>
        <v>#N/A</v>
      </c>
      <c r="AC55" s="29" t="str">
        <f>IF(A55&lt;('2. Inputs and results'!$B$21+1),AC54+(C55+Y55-$V$6)," ")</f>
        <v xml:space="preserve"> </v>
      </c>
      <c r="AD55" s="20" t="e">
        <f>IF(A55&lt;('2. Inputs and results'!$B$21+1),AC55/L55,NA())</f>
        <v>#N/A</v>
      </c>
      <c r="AE55" t="str">
        <f>IF(A55&lt;('2. Inputs and results'!$B$21+1),-'2. Inputs and results'!$B$121*A55," ")</f>
        <v xml:space="preserve"> </v>
      </c>
      <c r="AF55" t="e">
        <f>IF(A55&lt;('2. Inputs and results'!$B$21+1),AE55/1000,NA())</f>
        <v>#N/A</v>
      </c>
    </row>
    <row r="56" spans="1:32" x14ac:dyDescent="0.25">
      <c r="G56" s="4"/>
      <c r="H56" s="4"/>
      <c r="I56" s="4"/>
      <c r="J56" s="4"/>
      <c r="K56" s="4"/>
    </row>
    <row r="57" spans="1:32" x14ac:dyDescent="0.25">
      <c r="H57" s="4"/>
      <c r="I57" s="4"/>
      <c r="J57" s="4"/>
      <c r="K57" s="4"/>
    </row>
    <row r="58" spans="1:32" x14ac:dyDescent="0.25">
      <c r="K58" s="4"/>
    </row>
    <row r="59" spans="1:32" x14ac:dyDescent="0.25">
      <c r="K59" s="4"/>
    </row>
    <row r="60" spans="1:32" x14ac:dyDescent="0.25">
      <c r="K60" s="4"/>
    </row>
  </sheetData>
  <sheetProtection sheet="1" objects="1" scenarios="1"/>
  <conditionalFormatting sqref="K56:K60 A5:AF6 H57:J57 I56:J56 G8:H56 D8:F55 D7:T7 A7:C55 I8:T55 U7:AF55">
    <cfRule type="cellIs" dxfId="10" priority="3" operator="equal">
      <formula>#N/A</formula>
    </cfRule>
    <cfRule type="cellIs" dxfId="9" priority="7" operator="equal">
      <formula>#N/A</formula>
    </cfRule>
    <cfRule type="cellIs" dxfId="8" priority="8" operator="equal">
      <formula>#N/A</formula>
    </cfRule>
  </conditionalFormatting>
  <conditionalFormatting sqref="D5:D55">
    <cfRule type="expression" dxfId="7" priority="5">
      <formula>#N/A</formula>
    </cfRule>
    <cfRule type="cellIs" dxfId="6" priority="6" operator="equal">
      <formula>#N/A</formula>
    </cfRule>
  </conditionalFormatting>
  <conditionalFormatting sqref="K56:K60 A4:S6 H57:J57 I56:J56 G8:H56 D8:F55 D7:S7 A7:C55 I8:S55">
    <cfRule type="cellIs" dxfId="5" priority="4" operator="equal">
      <formula>"PUUTTUU()"</formula>
    </cfRule>
  </conditionalFormatting>
  <conditionalFormatting sqref="K56:K60 A4:AF6 H57:J57 I56:J56 G8:H56 D8:F55 D7:T7 A7:C55 I8:T55 U7:AF55">
    <cfRule type="containsErrors" dxfId="4" priority="1">
      <formula>ISERROR(A4)</formula>
    </cfRule>
    <cfRule type="containsText" dxfId="3" priority="2" operator="containsText" text="#PUUTTUU!">
      <formula>NOT(ISERROR(SEARCH("#PUUTTUU!",A4)))</formula>
    </cfRule>
  </conditionalFormatting>
  <pageMargins left="0.7" right="0.7" top="0.75" bottom="0.75" header="0.3" footer="0.3"/>
  <pageSetup paperSize="9" scale="5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56"/>
  <sheetViews>
    <sheetView topLeftCell="T1" workbookViewId="0">
      <selection activeCell="U7" sqref="U7"/>
    </sheetView>
  </sheetViews>
  <sheetFormatPr defaultRowHeight="15" x14ac:dyDescent="0.25"/>
  <cols>
    <col min="1" max="2" width="27.42578125" customWidth="1"/>
    <col min="3" max="3" width="36.5703125" customWidth="1"/>
    <col min="4" max="4" width="34.85546875" customWidth="1"/>
    <col min="5" max="5" width="37.5703125" customWidth="1"/>
    <col min="6" max="6" width="44.140625" customWidth="1"/>
    <col min="7" max="8" width="24.85546875" customWidth="1"/>
    <col min="9" max="9" width="26.42578125" customWidth="1"/>
    <col min="10" max="10" width="26.42578125" style="39" customWidth="1"/>
    <col min="11" max="11" width="33.28515625" customWidth="1"/>
    <col min="12" max="14" width="19.5703125" customWidth="1"/>
    <col min="15" max="15" width="27.85546875" customWidth="1"/>
    <col min="16" max="16" width="32.140625" customWidth="1"/>
    <col min="17" max="17" width="21.7109375" customWidth="1"/>
    <col min="18" max="30" width="32.7109375" customWidth="1"/>
    <col min="31" max="31" width="17.5703125" customWidth="1"/>
  </cols>
  <sheetData>
    <row r="1" spans="1:32" x14ac:dyDescent="0.25">
      <c r="K1" s="11"/>
      <c r="P1" s="5"/>
      <c r="S1" s="11"/>
      <c r="T1" s="11"/>
      <c r="U1" s="15"/>
      <c r="V1" s="11"/>
      <c r="Z1" s="6" t="s">
        <v>38</v>
      </c>
      <c r="AA1" s="6"/>
      <c r="AB1" s="6"/>
      <c r="AC1" s="6"/>
      <c r="AD1" s="6"/>
    </row>
    <row r="2" spans="1:32" x14ac:dyDescent="0.25">
      <c r="O2" s="6" t="s">
        <v>12</v>
      </c>
      <c r="P2" s="14">
        <f>'2. Inputs and results'!C81</f>
        <v>0.04</v>
      </c>
      <c r="R2" s="15" t="s">
        <v>73</v>
      </c>
      <c r="S2" s="15"/>
      <c r="T2" s="15"/>
      <c r="U2" s="15"/>
      <c r="V2" s="15"/>
      <c r="W2" s="15" t="s">
        <v>73</v>
      </c>
      <c r="X2" s="15"/>
      <c r="Y2" s="15"/>
      <c r="Z2" s="15"/>
      <c r="AA2" s="15"/>
      <c r="AB2" s="15"/>
      <c r="AC2" s="15"/>
      <c r="AD2" s="15"/>
    </row>
    <row r="3" spans="1:32" x14ac:dyDescent="0.25">
      <c r="G3" s="25" t="s">
        <v>28</v>
      </c>
      <c r="H3" s="25"/>
      <c r="I3" s="11"/>
      <c r="J3" s="11"/>
      <c r="K3" s="11"/>
      <c r="R3" s="15"/>
      <c r="S3" s="15"/>
      <c r="T3" s="15"/>
      <c r="V3" s="15"/>
      <c r="W3" s="15"/>
      <c r="X3" s="15"/>
      <c r="Y3" s="15"/>
      <c r="AA3" t="s">
        <v>156</v>
      </c>
      <c r="AB3" t="s">
        <v>156</v>
      </c>
      <c r="AC3" t="s">
        <v>156</v>
      </c>
      <c r="AD3" t="s">
        <v>156</v>
      </c>
      <c r="AE3" t="s">
        <v>31</v>
      </c>
    </row>
    <row r="4" spans="1:32" x14ac:dyDescent="0.25">
      <c r="A4" t="s">
        <v>0</v>
      </c>
      <c r="C4" s="7" t="s">
        <v>58</v>
      </c>
      <c r="D4" s="7" t="s">
        <v>27</v>
      </c>
      <c r="E4" s="7" t="s">
        <v>59</v>
      </c>
      <c r="F4" s="7" t="s">
        <v>66</v>
      </c>
      <c r="G4" s="12" t="s">
        <v>29</v>
      </c>
      <c r="H4" s="12" t="s">
        <v>103</v>
      </c>
      <c r="I4" s="12" t="s">
        <v>30</v>
      </c>
      <c r="J4" s="12" t="s">
        <v>155</v>
      </c>
      <c r="K4" s="4" t="s">
        <v>13</v>
      </c>
      <c r="L4" s="4" t="s">
        <v>56</v>
      </c>
      <c r="M4" s="4" t="s">
        <v>34</v>
      </c>
      <c r="N4" s="4" t="s">
        <v>46</v>
      </c>
      <c r="O4" s="4" t="s">
        <v>14</v>
      </c>
      <c r="P4" s="4" t="s">
        <v>15</v>
      </c>
      <c r="Q4" s="4" t="s">
        <v>16</v>
      </c>
      <c r="R4" s="16" t="s">
        <v>42</v>
      </c>
      <c r="S4" s="16" t="s">
        <v>36</v>
      </c>
      <c r="T4" s="16" t="s">
        <v>52</v>
      </c>
      <c r="U4" s="16" t="s">
        <v>39</v>
      </c>
      <c r="V4" s="16" t="s">
        <v>34</v>
      </c>
      <c r="W4" s="7" t="s">
        <v>1</v>
      </c>
      <c r="X4" s="7" t="s">
        <v>36</v>
      </c>
      <c r="Y4" s="7" t="s">
        <v>52</v>
      </c>
      <c r="Z4" s="16" t="s">
        <v>40</v>
      </c>
      <c r="AA4" s="16" t="s">
        <v>76</v>
      </c>
      <c r="AB4" s="15" t="s">
        <v>44</v>
      </c>
      <c r="AC4" s="15" t="s">
        <v>77</v>
      </c>
      <c r="AD4" s="15" t="s">
        <v>43</v>
      </c>
      <c r="AE4" t="s">
        <v>33</v>
      </c>
      <c r="AF4" t="s">
        <v>32</v>
      </c>
    </row>
    <row r="5" spans="1:32" x14ac:dyDescent="0.25">
      <c r="A5">
        <v>0</v>
      </c>
      <c r="B5">
        <f>IF(A5&lt;('2. Inputs and results'!$C$21+1),A5," ")</f>
        <v>0</v>
      </c>
      <c r="C5" s="4">
        <v>0</v>
      </c>
      <c r="D5" s="4">
        <f>C5</f>
        <v>0</v>
      </c>
      <c r="E5" s="4"/>
      <c r="F5" s="4"/>
      <c r="G5" s="4">
        <v>0</v>
      </c>
      <c r="H5" s="4">
        <v>0</v>
      </c>
      <c r="I5" s="4">
        <v>0</v>
      </c>
      <c r="J5" s="4">
        <v>0</v>
      </c>
      <c r="K5" s="4">
        <f>G5+I5+H5+J5</f>
        <v>0</v>
      </c>
      <c r="L5" s="4">
        <f>'2. Inputs and results'!$C$73-('2. Inputs and results'!C77*'2. Inputs and results'!C73)</f>
        <v>212500</v>
      </c>
      <c r="M5" s="4"/>
      <c r="N5" s="4"/>
      <c r="O5" s="4"/>
      <c r="P5" s="4"/>
      <c r="Q5" s="4"/>
      <c r="R5" s="4">
        <f>-L5</f>
        <v>-212500</v>
      </c>
      <c r="S5" s="4"/>
      <c r="T5" s="4"/>
      <c r="U5" s="4">
        <f>R5</f>
        <v>-212500</v>
      </c>
      <c r="V5" s="4"/>
      <c r="W5" s="4">
        <f>-L5</f>
        <v>-212500</v>
      </c>
      <c r="X5" s="4"/>
      <c r="Y5" s="4"/>
      <c r="Z5" s="4">
        <f>W5</f>
        <v>-212500</v>
      </c>
      <c r="AA5" s="4">
        <f>G5+I5+H5+T5-$V$5</f>
        <v>0</v>
      </c>
      <c r="AB5" s="20">
        <f>IF(A5&lt;('2. Inputs and results'!$C$21+1),AA5/L5,NA())</f>
        <v>0</v>
      </c>
      <c r="AC5" s="29">
        <f>C5+Y5-$V$5</f>
        <v>0</v>
      </c>
      <c r="AD5" s="20">
        <f>IF(A5&lt;('2. Inputs and results'!$C$21+1),AC5/L5,NA())</f>
        <v>0</v>
      </c>
      <c r="AE5">
        <f>IF(A5&lt;('2. Inputs and results'!$C$21+1),-'2. Inputs and results'!$C$121*A5," ")</f>
        <v>0</v>
      </c>
      <c r="AF5">
        <f>IF(A5&lt;('2. Inputs and results'!$C$21+1),AE5/1000,NA())</f>
        <v>0</v>
      </c>
    </row>
    <row r="6" spans="1:32" x14ac:dyDescent="0.25">
      <c r="A6">
        <f>A5+1</f>
        <v>1</v>
      </c>
      <c r="B6">
        <f>IF(A6&lt;('2. Inputs and results'!$C$21+1),A6," ")</f>
        <v>1</v>
      </c>
      <c r="C6" s="4">
        <f>IF(A6&lt;('2. Inputs and results'!$C$21+1),'2. Inputs and results'!$C$99+'2. Inputs and results'!$C$101," ")</f>
        <v>24600</v>
      </c>
      <c r="D6" s="4">
        <f>C6</f>
        <v>24600</v>
      </c>
      <c r="E6" s="4">
        <f>IF(A6&lt;('2. Inputs and results'!$C$21+1),C6/((1+$P$2)^A6)," ")</f>
        <v>23653.846153846152</v>
      </c>
      <c r="F6" s="4">
        <f>E6</f>
        <v>23653.846153846152</v>
      </c>
      <c r="G6" s="4">
        <f>'2. Inputs and results'!C93</f>
        <v>45000</v>
      </c>
      <c r="H6" s="4">
        <f>'2. Inputs and results'!C97</f>
        <v>0</v>
      </c>
      <c r="I6" s="4">
        <f>'2. Inputs and results'!C95</f>
        <v>-20400</v>
      </c>
      <c r="J6" s="4">
        <f>'2. Inputs and results'!C101</f>
        <v>0</v>
      </c>
      <c r="K6" s="4">
        <f>G6+I6+H6+J6</f>
        <v>24600</v>
      </c>
      <c r="L6" s="4">
        <f>'2. Inputs and results'!$C$73-('2. Inputs and results'!C77*'2. Inputs and results'!C73)</f>
        <v>212500</v>
      </c>
      <c r="M6" s="4">
        <f>IF(A6&lt;('2. Inputs and results'!$C$21+1),'2. Inputs and results'!$C$75*'2. Inputs and results'!$C$73," ")</f>
        <v>2500</v>
      </c>
      <c r="N6" s="4">
        <f>IF(A6&lt;('2. Inputs and results'!$C$21+1),M6/((1+$P$2)^A6)," ")</f>
        <v>2403.8461538461538</v>
      </c>
      <c r="O6" s="4">
        <f>L6</f>
        <v>212500</v>
      </c>
      <c r="P6" s="4">
        <f>IF(A6&lt;('2. Inputs and results'!$C$21+1),(G6+I6+H6+J6)/((1+$P$2)^A6)," ")</f>
        <v>23653.846153846152</v>
      </c>
      <c r="Q6" s="4">
        <f>P6</f>
        <v>23653.846153846152</v>
      </c>
      <c r="R6" s="4">
        <f>-L6+G6+I6+H6+J6+T6-$V$6</f>
        <v>-194650</v>
      </c>
      <c r="S6" s="4">
        <f>IF(A6&lt;('2. Inputs and results'!$C$21+1),'2. Inputs and results'!$C$79*(R5)," ")</f>
        <v>-4250</v>
      </c>
      <c r="T6" s="4">
        <f>IF(S6&lt;0,S6,0)</f>
        <v>-4250</v>
      </c>
      <c r="U6" s="4">
        <f>IF(A6&lt;('2. Inputs and results'!$C$21+1),U5+(T6+I6+G6+H6+J6-$V$6)/((1+$P$2)^A6),NA())</f>
        <v>-195336.53846153847</v>
      </c>
      <c r="V6" s="4">
        <f>'2. Inputs and results'!$C$75*'2. Inputs and results'!$C$73</f>
        <v>2500</v>
      </c>
      <c r="W6" s="4">
        <f>-L6+C6+Y6-$V$6</f>
        <v>-194650</v>
      </c>
      <c r="X6" s="4">
        <f>IF(A6&lt;('2. Inputs and results'!$C$21+1),'2. Inputs and results'!$C$79*(W5)," ")</f>
        <v>-4250</v>
      </c>
      <c r="Y6" s="4">
        <f>IF(X6&lt;0,X6,0)</f>
        <v>-4250</v>
      </c>
      <c r="Z6" s="4">
        <f>IF(A6&lt;('2. Inputs and results'!$C$21+1),Z5+((C6-$V$6+Y6)/((1+$P$2)^A6)),NA())</f>
        <v>-195336.53846153847</v>
      </c>
      <c r="AA6" s="4">
        <f>IF(A6&lt;('2. Inputs and results'!$C$21+1),AA5+G6+I6+H6+T6-$V$6," ")</f>
        <v>17850</v>
      </c>
      <c r="AB6" s="20">
        <f>IF(A6&lt;('2. Inputs and results'!$C$21+1),AA6/L6,NA())</f>
        <v>8.4000000000000005E-2</v>
      </c>
      <c r="AC6" s="29">
        <f>IF(A6&lt;('2. Inputs and results'!$C$21+1),AC5+C6+Y6-$V$6," ")</f>
        <v>17850</v>
      </c>
      <c r="AD6" s="20">
        <f>IF(A6&lt;('2. Inputs and results'!$C$21+1),AC6/L6,NA())</f>
        <v>8.4000000000000005E-2</v>
      </c>
      <c r="AE6">
        <f>IF(A6&lt;('2. Inputs and results'!$C$21+1),-'2. Inputs and results'!$C$121*A6," ")</f>
        <v>-46000</v>
      </c>
      <c r="AF6">
        <f>IF(A6&lt;('2. Inputs and results'!$C$21+1),AE6/1000,NA())</f>
        <v>-46</v>
      </c>
    </row>
    <row r="7" spans="1:32" x14ac:dyDescent="0.25">
      <c r="A7">
        <f t="shared" ref="A7:A55" si="0">A6+1</f>
        <v>2</v>
      </c>
      <c r="B7">
        <f>IF(A7&lt;('2. Inputs and results'!$C$21+1),A7," ")</f>
        <v>2</v>
      </c>
      <c r="C7" s="4">
        <f>IF(A7&lt;('2. Inputs and results'!$C$21+1),'2. Inputs and results'!$C$99+'2. Inputs and results'!$C$101," ")</f>
        <v>24600</v>
      </c>
      <c r="D7" s="4">
        <f>IF(A7&lt;('2. Inputs and results'!$C$21+1),D6+C7,NA())</f>
        <v>49200</v>
      </c>
      <c r="E7" s="4">
        <f>IF(A7&lt;('2. Inputs and results'!$C$21+1),C7/((1+$P$2)^A7)," ")</f>
        <v>22744.082840236682</v>
      </c>
      <c r="F7" s="4">
        <f>IF(B7&lt;('2. Inputs and results'!$C$21+1),F6+E7," ")</f>
        <v>46397.928994082831</v>
      </c>
      <c r="G7" s="4">
        <f>IF(A7&lt;('2. Inputs and results'!$C$21+1),G6*(1+'2. Inputs and results'!$C$46)," ")</f>
        <v>47700</v>
      </c>
      <c r="H7" s="4">
        <f>IF(A7&lt;('2. Inputs and results'!$C$21+1),H6*(1+'2. Inputs and results'!$C$58)," ")</f>
        <v>0</v>
      </c>
      <c r="I7" s="4">
        <f>IF(A7&lt;('2. Inputs and results'!$C$21+1),I6*(1+'2. Inputs and results'!$C$34)," ")</f>
        <v>-21624</v>
      </c>
      <c r="J7" s="4">
        <f>IF(A7&lt;('2. Inputs and results'!$C$21+1),J6*(1+'2. Inputs and results'!$C$68)," ")</f>
        <v>0</v>
      </c>
      <c r="K7" s="4">
        <f>IF(A7&lt;('2. Inputs and results'!$C$21+1),K6+(G7+I7+H7+J7),NA())</f>
        <v>50676</v>
      </c>
      <c r="L7" s="4">
        <f>IF(A7&lt;('2. Inputs and results'!$C$21+1),L6,NA())</f>
        <v>212500</v>
      </c>
      <c r="M7" s="4">
        <f>IF(A7&lt;('2. Inputs and results'!$C$21+1),'2. Inputs and results'!$C$75*'2. Inputs and results'!$C$73," ")</f>
        <v>2500</v>
      </c>
      <c r="N7" s="4">
        <f>IF(A7&lt;('2. Inputs and results'!$C$21+1),M7/((1+$P$2)^A7)," ")</f>
        <v>2311.3905325443784</v>
      </c>
      <c r="O7" s="4">
        <f>IF(A7&lt;('2. Inputs and results'!$C$21+1),'2. Inputs and results'!$C$73*'2. Inputs and results'!$C$75+O6," ")</f>
        <v>215000</v>
      </c>
      <c r="P7" s="4">
        <f>IF(A7&lt;('2. Inputs and results'!$C$21+1),(G7+I7+H7+J7)/((1+$P$2)^A7)," ")</f>
        <v>24108.727810650886</v>
      </c>
      <c r="Q7" s="4">
        <f>IF(A7&lt;('2. Inputs and results'!$C$21+1),Q6+P7," ")</f>
        <v>47762.573964497038</v>
      </c>
      <c r="R7" s="4">
        <f>IF(A7&lt;('2. Inputs and results'!$C$21+1),R6+G7+I7+H7+J7+T7-$V$6,NA())</f>
        <v>-174967</v>
      </c>
      <c r="S7" s="4">
        <f>IF(A7&lt;('2. Inputs and results'!$C$21+1),'2. Inputs and results'!$C$79*(R6)," ")</f>
        <v>-3893</v>
      </c>
      <c r="T7" s="4">
        <f t="shared" ref="T7:T55" si="1">IF(S7&lt;0,S7,0)</f>
        <v>-3893</v>
      </c>
      <c r="U7" s="4">
        <f>IF(A7&lt;('2. Inputs and results'!$C$21+1),U6+((G7+I7+H7+J7-$V$6+T7)/((1+$P$2)^A7)),NA())</f>
        <v>-177138.49852071007</v>
      </c>
      <c r="V7" s="4">
        <f>IF(A7&lt;('2. Inputs and results'!$C$21+1),V6+('2. Inputs and results'!$C$75*'2. Inputs and results'!$C$73)," ")</f>
        <v>5000</v>
      </c>
      <c r="W7" s="4">
        <f>IF(A7&lt;('2. Inputs and results'!$C$21+1),W6+C7+Y7-$V$6,NA())</f>
        <v>-176443</v>
      </c>
      <c r="X7" s="4">
        <f>IF(A7&lt;('2. Inputs and results'!$C$21+1),'2. Inputs and results'!$C$79*(W6)," ")</f>
        <v>-3893</v>
      </c>
      <c r="Y7" s="4">
        <f t="shared" ref="Y7:Y55" si="2">IF(X7&lt;0,X7,0)</f>
        <v>-3893</v>
      </c>
      <c r="Z7" s="4">
        <f>IF(A7&lt;('2. Inputs and results'!$C$21+1),Z6+((C7-$V$6+Y7)/((1+$P$2)^A7)),NA())</f>
        <v>-178503.14349112427</v>
      </c>
      <c r="AA7" s="4">
        <f>IF(A7&lt;('2. Inputs and results'!$C$21+1),AA6+G7+I7+H7+T7-$V$6," ")</f>
        <v>37533</v>
      </c>
      <c r="AB7" s="20">
        <f>IF(A7&lt;('2. Inputs and results'!$C$21+1),AA7/L7,NA())</f>
        <v>0.17662588235294119</v>
      </c>
      <c r="AC7" s="29">
        <f>IF(A7&lt;('2. Inputs and results'!$C$21+1),AC6+C7+Y7-$V$6," ")</f>
        <v>36057</v>
      </c>
      <c r="AD7" s="20">
        <f>IF(A7&lt;('2. Inputs and results'!$C$21+1),AC7/L7,NA())</f>
        <v>0.16968</v>
      </c>
      <c r="AE7">
        <f>IF(A7&lt;('2. Inputs and results'!$C$21+1),-'2. Inputs and results'!$C$121*A7," ")</f>
        <v>-92000</v>
      </c>
      <c r="AF7">
        <f>IF(A7&lt;('2. Inputs and results'!$C$21+1),AE7/1000,NA())</f>
        <v>-92</v>
      </c>
    </row>
    <row r="8" spans="1:32" x14ac:dyDescent="0.25">
      <c r="A8">
        <f t="shared" si="0"/>
        <v>3</v>
      </c>
      <c r="B8">
        <f>IF(A8&lt;('2. Inputs and results'!$C$21+1),A8," ")</f>
        <v>3</v>
      </c>
      <c r="C8" s="4">
        <f>IF(A8&lt;('2. Inputs and results'!$C$21+1),'2. Inputs and results'!$C$99+'2. Inputs and results'!$C$101," ")</f>
        <v>24600</v>
      </c>
      <c r="D8" s="4">
        <f>IF(A8&lt;('2. Inputs and results'!$C$21+1),D7+C8,NA())</f>
        <v>73800</v>
      </c>
      <c r="E8" s="4">
        <f>IF(A8&lt;('2. Inputs and results'!$C$21+1),C8/((1+$P$2)^A8)," ")</f>
        <v>21869.310423304505</v>
      </c>
      <c r="F8" s="4">
        <f>IF(B8&lt;('2. Inputs and results'!$C$21+1),F7+E8," ")</f>
        <v>68267.239417387333</v>
      </c>
      <c r="G8" s="4">
        <f>IF(A8&lt;('2. Inputs and results'!$C$21+1),G7*(1+'2. Inputs and results'!$C$46)," ")</f>
        <v>50562</v>
      </c>
      <c r="H8" s="4">
        <f>IF(A8&lt;('2. Inputs and results'!$C$21+1),H7*(1+'2. Inputs and results'!$C$58)," ")</f>
        <v>0</v>
      </c>
      <c r="I8" s="4">
        <f>IF(A8&lt;('2. Inputs and results'!$C$21+1),I7*(1+'2. Inputs and results'!$C$34)," ")</f>
        <v>-22921.440000000002</v>
      </c>
      <c r="J8" s="4">
        <f>IF(A8&lt;('2. Inputs and results'!$C$21+1),J7*(1+'2. Inputs and results'!$C$68)," ")</f>
        <v>0</v>
      </c>
      <c r="K8" s="4">
        <f>IF(A8&lt;('2. Inputs and results'!$C$21+1),K7+(G8+I8+H8+J8),NA())</f>
        <v>78316.56</v>
      </c>
      <c r="L8" s="4">
        <f>IF(A8&lt;('2. Inputs and results'!$C$21+1),L7,NA())</f>
        <v>212500</v>
      </c>
      <c r="M8" s="4">
        <f>IF(A8&lt;('2. Inputs and results'!$C$21+1),'2. Inputs and results'!$C$75*'2. Inputs and results'!$C$73," ")</f>
        <v>2500</v>
      </c>
      <c r="N8" s="4">
        <f>IF(A8&lt;('2. Inputs and results'!$C$21+1),M8/((1+$P$2)^A8)," ")</f>
        <v>2222.4908966772869</v>
      </c>
      <c r="O8" s="4">
        <f>IF(A8&lt;('2. Inputs and results'!$C$21+1),'2. Inputs and results'!$C$73*'2. Inputs and results'!$C$75+O7," ")</f>
        <v>217500</v>
      </c>
      <c r="P8" s="4">
        <f>IF(A8&lt;('2. Inputs and results'!$C$21+1),(G8+I8+H8+J8)/((1+$P$2)^A8)," ")</f>
        <v>24572.357191624938</v>
      </c>
      <c r="Q8" s="4">
        <f>IF(A8&lt;('2. Inputs and results'!$C$21+1),Q7+P8," ")</f>
        <v>72334.93115612198</v>
      </c>
      <c r="R8" s="4">
        <f>IF(A8&lt;('2. Inputs and results'!$C$21+1),R7+G8+I8+H8+J8+T8-$V$6,NA())</f>
        <v>-153325.78</v>
      </c>
      <c r="S8" s="4">
        <f>IF(A8&lt;('2. Inputs and results'!$C$21+1),'2. Inputs and results'!$C$79*(R7)," ")</f>
        <v>-3499.34</v>
      </c>
      <c r="T8" s="4">
        <f t="shared" si="1"/>
        <v>-3499.34</v>
      </c>
      <c r="U8" s="4">
        <f>IF(A8&lt;('2. Inputs and results'!$C$21+1),U7+((G8+I8+H8+J8-$V$6+T8)/((1+$P$2)^A8)),NA())</f>
        <v>-157899.5327435139</v>
      </c>
      <c r="V8" s="4">
        <f>IF(A8&lt;('2. Inputs and results'!$C$21+1),V7+('2. Inputs and results'!$C$75*'2. Inputs and results'!$C$73)," ")</f>
        <v>7500</v>
      </c>
      <c r="W8" s="4">
        <f>IF(A8&lt;('2. Inputs and results'!$C$21+1),W7+C8+Y8-$V$6,NA())</f>
        <v>-157871.85999999999</v>
      </c>
      <c r="X8" s="4">
        <f>IF(A8&lt;('2. Inputs and results'!$C$21+1),'2. Inputs and results'!$C$79*(W7)," ")</f>
        <v>-3528.86</v>
      </c>
      <c r="Y8" s="4">
        <f t="shared" si="2"/>
        <v>-3528.86</v>
      </c>
      <c r="Z8" s="4">
        <f>IF(A8&lt;('2. Inputs and results'!$C$21+1),Z7+((C8-$V$6+Y8)/((1+$P$2)^A8)),NA())</f>
        <v>-161993.4676547565</v>
      </c>
      <c r="AA8" s="4">
        <f>IF(A8&lt;('2. Inputs and results'!$C$21+1),AA7+G8+I8+H8+T8-$V$6," ")</f>
        <v>59174.22</v>
      </c>
      <c r="AB8" s="20">
        <f>IF(A8&lt;('2. Inputs and results'!$C$21+1),AA8/L8,NA())</f>
        <v>0.27846691764705883</v>
      </c>
      <c r="AC8" s="29">
        <f>IF(A8&lt;('2. Inputs and results'!$C$21+1),AC7+C8+Y8-$V$6," ")</f>
        <v>54628.14</v>
      </c>
      <c r="AD8" s="20">
        <f>IF(A8&lt;('2. Inputs and results'!$C$21+1),AC8/L8,NA())</f>
        <v>0.25707360000000001</v>
      </c>
      <c r="AE8">
        <f>IF(A8&lt;('2. Inputs and results'!$C$21+1),-'2. Inputs and results'!$C$121*A8," ")</f>
        <v>-138000</v>
      </c>
      <c r="AF8">
        <f>IF(A8&lt;('2. Inputs and results'!$C$21+1),AE8/1000,NA())</f>
        <v>-138</v>
      </c>
    </row>
    <row r="9" spans="1:32" x14ac:dyDescent="0.25">
      <c r="A9">
        <f t="shared" si="0"/>
        <v>4</v>
      </c>
      <c r="B9">
        <f>IF(A9&lt;('2. Inputs and results'!$C$21+1),A9," ")</f>
        <v>4</v>
      </c>
      <c r="C9" s="4">
        <f>IF(A9&lt;('2. Inputs and results'!$C$21+1),'2. Inputs and results'!$C$99+'2. Inputs and results'!$C$101," ")</f>
        <v>24600</v>
      </c>
      <c r="D9" s="4">
        <f>IF(A9&lt;('2. Inputs and results'!$C$21+1),D8+C9,NA())</f>
        <v>98400</v>
      </c>
      <c r="E9" s="4">
        <f>IF(A9&lt;('2. Inputs and results'!$C$21+1),C9/((1+$P$2)^A9)," ")</f>
        <v>21028.183099331251</v>
      </c>
      <c r="F9" s="4">
        <f>IF(B9&lt;('2. Inputs and results'!$C$21+1),F8+E9," ")</f>
        <v>89295.42251671858</v>
      </c>
      <c r="G9" s="4">
        <f>IF(A9&lt;('2. Inputs and results'!$C$21+1),G8*(1+'2. Inputs and results'!$C$46)," ")</f>
        <v>53595.72</v>
      </c>
      <c r="H9" s="4">
        <f>IF(A9&lt;('2. Inputs and results'!$C$21+1),H8*(1+'2. Inputs and results'!$C$58)," ")</f>
        <v>0</v>
      </c>
      <c r="I9" s="4">
        <f>IF(A9&lt;('2. Inputs and results'!$C$21+1),I8*(1+'2. Inputs and results'!$C$34)," ")</f>
        <v>-24296.726400000003</v>
      </c>
      <c r="J9" s="4">
        <f>IF(A9&lt;('2. Inputs and results'!$C$21+1),J8*(1+'2. Inputs and results'!$C$68)," ")</f>
        <v>0</v>
      </c>
      <c r="K9" s="4">
        <f>IF(A9&lt;('2. Inputs and results'!$C$21+1),K8+(G9+I9+H9+J9),NA())</f>
        <v>107615.5536</v>
      </c>
      <c r="L9" s="4">
        <f>IF(A9&lt;('2. Inputs and results'!$C$21+1),L8,NA())</f>
        <v>212500</v>
      </c>
      <c r="M9" s="4">
        <f>IF(A9&lt;('2. Inputs and results'!$C$21+1),'2. Inputs and results'!$C$75*'2. Inputs and results'!$C$73," ")</f>
        <v>2500</v>
      </c>
      <c r="N9" s="4">
        <f>IF(A9&lt;('2. Inputs and results'!$C$21+1),M9/((1+$P$2)^A9)," ")</f>
        <v>2137.0104775743143</v>
      </c>
      <c r="O9" s="4">
        <f>IF(A9&lt;('2. Inputs and results'!$C$21+1),'2. Inputs and results'!$C$73*'2. Inputs and results'!$C$75+O8," ")</f>
        <v>220000</v>
      </c>
      <c r="P9" s="4">
        <f>IF(A9&lt;('2. Inputs and results'!$C$21+1),(G9+I9+H9+J9)/((1+$P$2)^A9)," ")</f>
        <v>25044.902522233107</v>
      </c>
      <c r="Q9" s="4">
        <f>IF(A9&lt;('2. Inputs and results'!$C$21+1),Q8+P9," ")</f>
        <v>97379.833678355091</v>
      </c>
      <c r="R9" s="4">
        <f>IF(A9&lt;('2. Inputs and results'!$C$21+1),R8+G9+I9+H9+J9+T9-$V$6,NA())</f>
        <v>-129593.302</v>
      </c>
      <c r="S9" s="4">
        <f>IF(A9&lt;('2. Inputs and results'!$C$21+1),'2. Inputs and results'!$C$79*(R8)," ")</f>
        <v>-3066.5156000000002</v>
      </c>
      <c r="T9" s="4">
        <f t="shared" si="1"/>
        <v>-3066.5156000000002</v>
      </c>
      <c r="U9" s="4">
        <f>IF(A9&lt;('2. Inputs and results'!$C$21+1),U8+((G9+I9+H9+J9-$V$6+T9)/((1+$P$2)^A9)),NA())</f>
        <v>-137612.91108559314</v>
      </c>
      <c r="V9" s="4">
        <f>IF(A9&lt;('2. Inputs and results'!$C$21+1),V8+('2. Inputs and results'!$C$75*'2. Inputs and results'!$C$73)," ")</f>
        <v>10000</v>
      </c>
      <c r="W9" s="4">
        <f>IF(A9&lt;('2. Inputs and results'!$C$21+1),W8+C9+Y9-$V$6,NA())</f>
        <v>-138929.29719999997</v>
      </c>
      <c r="X9" s="4">
        <f>IF(A9&lt;('2. Inputs and results'!$C$21+1),'2. Inputs and results'!$C$79*(W8)," ")</f>
        <v>-3157.4371999999998</v>
      </c>
      <c r="Y9" s="4">
        <f t="shared" si="2"/>
        <v>-3157.4371999999998</v>
      </c>
      <c r="Z9" s="4">
        <f>IF(A9&lt;('2. Inputs and results'!$C$21+1),Z8+((C9-$V$6+Y9)/((1+$P$2)^A9)),NA())</f>
        <v>-145801.28558447273</v>
      </c>
      <c r="AA9" s="4">
        <f>IF(A9&lt;('2. Inputs and results'!$C$21+1),AA8+G9+I9+H9+T9-$V$6," ")</f>
        <v>82906.698000000004</v>
      </c>
      <c r="AB9" s="20">
        <f>IF(A9&lt;('2. Inputs and results'!$C$21+1),AA9/L9,NA())</f>
        <v>0.39014916705882352</v>
      </c>
      <c r="AC9" s="29">
        <f>IF(A9&lt;('2. Inputs and results'!$C$21+1),AC8+C9+Y9-$V$6," ")</f>
        <v>73570.702799999999</v>
      </c>
      <c r="AD9" s="20">
        <f>IF(A9&lt;('2. Inputs and results'!$C$21+1),AC9/L9,NA())</f>
        <v>0.34621507200000001</v>
      </c>
      <c r="AE9">
        <f>IF(A9&lt;('2. Inputs and results'!$C$21+1),-'2. Inputs and results'!$C$121*A9," ")</f>
        <v>-184000</v>
      </c>
      <c r="AF9">
        <f>IF(A9&lt;('2. Inputs and results'!$C$21+1),AE9/1000,NA())</f>
        <v>-184</v>
      </c>
    </row>
    <row r="10" spans="1:32" x14ac:dyDescent="0.25">
      <c r="A10">
        <f t="shared" si="0"/>
        <v>5</v>
      </c>
      <c r="B10">
        <f>IF(A10&lt;('2. Inputs and results'!$C$21+1),A10," ")</f>
        <v>5</v>
      </c>
      <c r="C10" s="4">
        <f>IF(A10&lt;('2. Inputs and results'!$C$21+1),'2. Inputs and results'!$C$99+'2. Inputs and results'!$C$101," ")</f>
        <v>24600</v>
      </c>
      <c r="D10" s="4">
        <f>IF(A10&lt;('2. Inputs and results'!$C$21+1),D9+C10,NA())</f>
        <v>123000</v>
      </c>
      <c r="E10" s="4">
        <f>IF(A10&lt;('2. Inputs and results'!$C$21+1),C10/((1+$P$2)^A10)," ")</f>
        <v>20219.406826280047</v>
      </c>
      <c r="F10" s="4">
        <f>IF(B10&lt;('2. Inputs and results'!$C$21+1),F9+E10," ")</f>
        <v>109514.82934299862</v>
      </c>
      <c r="G10" s="4">
        <f>IF(A10&lt;('2. Inputs and results'!$C$21+1),G9*(1+'2. Inputs and results'!$C$46)," ")</f>
        <v>56811.463200000006</v>
      </c>
      <c r="H10" s="4">
        <f>IF(A10&lt;('2. Inputs and results'!$C$21+1),H9*(1+'2. Inputs and results'!$C$58)," ")</f>
        <v>0</v>
      </c>
      <c r="I10" s="4">
        <f>IF(A10&lt;('2. Inputs and results'!$C$21+1),I9*(1+'2. Inputs and results'!$C$34)," ")</f>
        <v>-25754.529984000004</v>
      </c>
      <c r="J10" s="4">
        <f>IF(A10&lt;('2. Inputs and results'!$C$21+1),J9*(1+'2. Inputs and results'!$C$68)," ")</f>
        <v>0</v>
      </c>
      <c r="K10" s="4">
        <f>IF(A10&lt;('2. Inputs and results'!$C$21+1),K9+(G10+I10+H10+J10),NA())</f>
        <v>138672.48681599999</v>
      </c>
      <c r="L10" s="4">
        <f>IF(A10&lt;('2. Inputs and results'!$C$21+1),L9,NA())</f>
        <v>212500</v>
      </c>
      <c r="M10" s="4">
        <f>IF(A10&lt;('2. Inputs and results'!$C$21+1),'2. Inputs and results'!$C$75*'2. Inputs and results'!$C$73," ")</f>
        <v>2500</v>
      </c>
      <c r="N10" s="4">
        <f>IF(A10&lt;('2. Inputs and results'!$C$21+1),M10/((1+$P$2)^A10)," ")</f>
        <v>2054.817766898379</v>
      </c>
      <c r="O10" s="4">
        <f>IF(A10&lt;('2. Inputs and results'!$C$21+1),'2. Inputs and results'!$C$73*'2. Inputs and results'!$C$75+O9," ")</f>
        <v>222500</v>
      </c>
      <c r="P10" s="4">
        <f>IF(A10&lt;('2. Inputs and results'!$C$21+1),(G10+I10+H10+J10)/((1+$P$2)^A10)," ")</f>
        <v>25526.535263045284</v>
      </c>
      <c r="Q10" s="4">
        <f>IF(A10&lt;('2. Inputs and results'!$C$21+1),Q9+P10," ")</f>
        <v>122906.36894140037</v>
      </c>
      <c r="R10" s="4">
        <f>IF(A10&lt;('2. Inputs and results'!$C$21+1),R9+G10+I10+H10+J10+T10-$V$6,NA())</f>
        <v>-103628.234824</v>
      </c>
      <c r="S10" s="4">
        <f>IF(A10&lt;('2. Inputs and results'!$C$21+1),'2. Inputs and results'!$C$79*(R9)," ")</f>
        <v>-2591.8660399999999</v>
      </c>
      <c r="T10" s="4">
        <f t="shared" si="1"/>
        <v>-2591.8660399999999</v>
      </c>
      <c r="U10" s="4">
        <f>IF(A10&lt;('2. Inputs and results'!$C$21+1),U9+((G10+I10+H10+J10-$V$6+T10)/((1+$P$2)^A10)),NA())</f>
        <v>-116271.51854481125</v>
      </c>
      <c r="V10" s="4">
        <f>IF(A10&lt;('2. Inputs and results'!$C$21+1),V9+('2. Inputs and results'!$C$75*'2. Inputs and results'!$C$73)," ")</f>
        <v>12500</v>
      </c>
      <c r="W10" s="4">
        <f>IF(A10&lt;('2. Inputs and results'!$C$21+1),W9+C10+Y10-$V$6,NA())</f>
        <v>-119607.88314399998</v>
      </c>
      <c r="X10" s="4">
        <f>IF(A10&lt;('2. Inputs and results'!$C$21+1),'2. Inputs and results'!$C$79*(W9)," ")</f>
        <v>-2778.5859439999995</v>
      </c>
      <c r="Y10" s="4">
        <f t="shared" si="2"/>
        <v>-2778.5859439999995</v>
      </c>
      <c r="Z10" s="4">
        <f>IF(A10&lt;('2. Inputs and results'!$C$21+1),Z9+((C10-$V$6+Y10)/((1+$P$2)^A10)),NA())</f>
        <v>-129920.49163092519</v>
      </c>
      <c r="AA10" s="4">
        <f>IF(A10&lt;('2. Inputs and results'!$C$21+1),AA9+G10+I10+H10+T10-$V$6," ")</f>
        <v>108871.765176</v>
      </c>
      <c r="AB10" s="20">
        <f>IF(A10&lt;('2. Inputs and results'!$C$21+1),AA10/L10,NA())</f>
        <v>0.51233771847529408</v>
      </c>
      <c r="AC10" s="29">
        <f>IF(A10&lt;('2. Inputs and results'!$C$21+1),AC9+C10+Y10-$V$6," ")</f>
        <v>92892.116855999993</v>
      </c>
      <c r="AD10" s="20">
        <f>IF(A10&lt;('2. Inputs and results'!$C$21+1),AC10/L10,NA())</f>
        <v>0.43713937343999998</v>
      </c>
      <c r="AE10">
        <f>IF(A10&lt;('2. Inputs and results'!$C$21+1),-'2. Inputs and results'!$C$121*A10," ")</f>
        <v>-230000</v>
      </c>
      <c r="AF10">
        <f>IF(A10&lt;('2. Inputs and results'!$C$21+1),AE10/1000,NA())</f>
        <v>-230</v>
      </c>
    </row>
    <row r="11" spans="1:32" x14ac:dyDescent="0.25">
      <c r="A11">
        <f t="shared" si="0"/>
        <v>6</v>
      </c>
      <c r="B11">
        <f>IF(A11&lt;('2. Inputs and results'!$C$21+1),A11," ")</f>
        <v>6</v>
      </c>
      <c r="C11" s="4">
        <f>IF(A11&lt;('2. Inputs and results'!$C$21+1),'2. Inputs and results'!$C$99+'2. Inputs and results'!$C$101," ")</f>
        <v>24600</v>
      </c>
      <c r="D11" s="4">
        <f>IF(A11&lt;('2. Inputs and results'!$C$21+1),D10+C11,NA())</f>
        <v>147600</v>
      </c>
      <c r="E11" s="4">
        <f>IF(A11&lt;('2. Inputs and results'!$C$21+1),C11/((1+$P$2)^A11)," ")</f>
        <v>19441.737332961584</v>
      </c>
      <c r="F11" s="4">
        <f>IF(B11&lt;('2. Inputs and results'!$C$21+1),F10+E11," ")</f>
        <v>128956.5666759602</v>
      </c>
      <c r="G11" s="4">
        <f>IF(A11&lt;('2. Inputs and results'!$C$21+1),G10*(1+'2. Inputs and results'!$C$46)," ")</f>
        <v>60220.15099200001</v>
      </c>
      <c r="H11" s="4">
        <f>IF(A11&lt;('2. Inputs and results'!$C$21+1),H10*(1+'2. Inputs and results'!$C$58)," ")</f>
        <v>0</v>
      </c>
      <c r="I11" s="4">
        <f>IF(A11&lt;('2. Inputs and results'!$C$21+1),I10*(1+'2. Inputs and results'!$C$34)," ")</f>
        <v>-27299.801783040006</v>
      </c>
      <c r="J11" s="4">
        <f>IF(A11&lt;('2. Inputs and results'!$C$21+1),J10*(1+'2. Inputs and results'!$C$68)," ")</f>
        <v>0</v>
      </c>
      <c r="K11" s="4">
        <f>IF(A11&lt;('2. Inputs and results'!$C$21+1),K10+(G11+I11+H11+J11),NA())</f>
        <v>171592.83602495998</v>
      </c>
      <c r="L11" s="4">
        <f>IF(A11&lt;('2. Inputs and results'!$C$21+1),L10,NA())</f>
        <v>212500</v>
      </c>
      <c r="M11" s="4">
        <f>IF(A11&lt;('2. Inputs and results'!$C$21+1),'2. Inputs and results'!$C$75*'2. Inputs and results'!$C$73," ")</f>
        <v>2500</v>
      </c>
      <c r="N11" s="4">
        <f>IF(A11&lt;('2. Inputs and results'!$C$21+1),M11/((1+$P$2)^A11)," ")</f>
        <v>1975.7863143253642</v>
      </c>
      <c r="O11" s="4">
        <f>IF(A11&lt;('2. Inputs and results'!$C$21+1),'2. Inputs and results'!$C$73*'2. Inputs and results'!$C$75+O10," ")</f>
        <v>225000</v>
      </c>
      <c r="P11" s="4">
        <f>IF(A11&lt;('2. Inputs and results'!$C$21+1),(G11+I11+H11+J11)/((1+$P$2)^A11)," ")</f>
        <v>26017.430171950004</v>
      </c>
      <c r="Q11" s="4">
        <f>IF(A11&lt;('2. Inputs and results'!$C$21+1),Q10+P11," ")</f>
        <v>148923.79911335037</v>
      </c>
      <c r="R11" s="4">
        <f>IF(A11&lt;('2. Inputs and results'!$C$21+1),R10+G11+I11+H11+J11+T11-$V$6,NA())</f>
        <v>-75280.450311519991</v>
      </c>
      <c r="S11" s="4">
        <f>IF(A11&lt;('2. Inputs and results'!$C$21+1),'2. Inputs and results'!$C$79*(R10)," ")</f>
        <v>-2072.5646964799998</v>
      </c>
      <c r="T11" s="4">
        <f t="shared" si="1"/>
        <v>-2072.5646964799998</v>
      </c>
      <c r="U11" s="4">
        <f>IF(A11&lt;('2. Inputs and results'!$C$21+1),U10+((G11+I11+H11+J11-$V$6+T11)/((1+$P$2)^A11)),NA())</f>
        <v>-93867.852672330249</v>
      </c>
      <c r="V11" s="4">
        <f>IF(A11&lt;('2. Inputs and results'!$C$21+1),V10+('2. Inputs and results'!$C$75*'2. Inputs and results'!$C$73)," ")</f>
        <v>15000</v>
      </c>
      <c r="W11" s="4">
        <f>IF(A11&lt;('2. Inputs and results'!$C$21+1),W10+C11+Y11-$V$6,NA())</f>
        <v>-99900.040806879973</v>
      </c>
      <c r="X11" s="4">
        <f>IF(A11&lt;('2. Inputs and results'!$C$21+1),'2. Inputs and results'!$C$79*(W10)," ")</f>
        <v>-2392.1576628799994</v>
      </c>
      <c r="Y11" s="4">
        <f t="shared" si="2"/>
        <v>-2392.1576628799994</v>
      </c>
      <c r="Z11" s="4">
        <f>IF(A11&lt;('2. Inputs and results'!$C$21+1),Z10+((C11-$V$6+Y11)/((1+$P$2)^A11)),NA())</f>
        <v>-114345.09756109971</v>
      </c>
      <c r="AA11" s="4">
        <f>IF(A11&lt;('2. Inputs and results'!$C$21+1),AA10+G11+I11+H11+T11-$V$6," ")</f>
        <v>137219.54968848004</v>
      </c>
      <c r="AB11" s="20">
        <f>IF(A11&lt;('2. Inputs and results'!$C$21+1),AA11/L11,NA())</f>
        <v>0.6457390573575531</v>
      </c>
      <c r="AC11" s="29">
        <f>IF(A11&lt;('2. Inputs and results'!$C$21+1),AC10+C11+Y11-$V$6," ")</f>
        <v>112599.95919312</v>
      </c>
      <c r="AD11" s="20">
        <f>IF(A11&lt;('2. Inputs and results'!$C$21+1),AC11/L11,NA())</f>
        <v>0.52988216090880003</v>
      </c>
      <c r="AE11">
        <f>IF(A11&lt;('2. Inputs and results'!$C$21+1),-'2. Inputs and results'!$C$121*A11," ")</f>
        <v>-276000</v>
      </c>
      <c r="AF11">
        <f>IF(A11&lt;('2. Inputs and results'!$C$21+1),AE11/1000,NA())</f>
        <v>-276</v>
      </c>
    </row>
    <row r="12" spans="1:32" x14ac:dyDescent="0.25">
      <c r="A12">
        <f t="shared" si="0"/>
        <v>7</v>
      </c>
      <c r="B12">
        <f>IF(A12&lt;('2. Inputs and results'!$C$21+1),A12," ")</f>
        <v>7</v>
      </c>
      <c r="C12" s="4">
        <f>IF(A12&lt;('2. Inputs and results'!$C$21+1),'2. Inputs and results'!$C$99+'2. Inputs and results'!$C$101," ")</f>
        <v>24600</v>
      </c>
      <c r="D12" s="4">
        <f>IF(A12&lt;('2. Inputs and results'!$C$21+1),D11+C12,NA())</f>
        <v>172200</v>
      </c>
      <c r="E12" s="4">
        <f>IF(A12&lt;('2. Inputs and results'!$C$21+1),C12/((1+$P$2)^A12)," ")</f>
        <v>18693.978204770756</v>
      </c>
      <c r="F12" s="4">
        <f>IF(B12&lt;('2. Inputs and results'!$C$21+1),F11+E12," ")</f>
        <v>147650.54488073097</v>
      </c>
      <c r="G12" s="4">
        <f>IF(A12&lt;('2. Inputs and results'!$C$21+1),G11*(1+'2. Inputs and results'!$C$46)," ")</f>
        <v>63833.360051520016</v>
      </c>
      <c r="H12" s="4">
        <f>IF(A12&lt;('2. Inputs and results'!$C$21+1),H11*(1+'2. Inputs and results'!$C$58)," ")</f>
        <v>0</v>
      </c>
      <c r="I12" s="4">
        <f>IF(A12&lt;('2. Inputs and results'!$C$21+1),I11*(1+'2. Inputs and results'!$C$34)," ")</f>
        <v>-28937.789890022406</v>
      </c>
      <c r="J12" s="4">
        <f>IF(A12&lt;('2. Inputs and results'!$C$21+1),J11*(1+'2. Inputs and results'!$C$68)," ")</f>
        <v>0</v>
      </c>
      <c r="K12" s="4">
        <f>IF(A12&lt;('2. Inputs and results'!$C$21+1),K11+(G12+I12+H12+J12),NA())</f>
        <v>206488.40618645761</v>
      </c>
      <c r="L12" s="4">
        <f>IF(A12&lt;('2. Inputs and results'!$C$21+1),L11,NA())</f>
        <v>212500</v>
      </c>
      <c r="M12" s="4">
        <f>IF(A12&lt;('2. Inputs and results'!$C$21+1),'2. Inputs and results'!$C$75*'2. Inputs and results'!$C$73," ")</f>
        <v>2500</v>
      </c>
      <c r="N12" s="4">
        <f>IF(A12&lt;('2. Inputs and results'!$C$21+1),M12/((1+$P$2)^A12)," ")</f>
        <v>1899.7945330051582</v>
      </c>
      <c r="O12" s="4">
        <f>IF(A12&lt;('2. Inputs and results'!$C$21+1),'2. Inputs and results'!$C$73*'2. Inputs and results'!$C$75+O11," ")</f>
        <v>227500</v>
      </c>
      <c r="P12" s="4">
        <f>IF(A12&lt;('2. Inputs and results'!$C$21+1),(G12+I12+H12+J12)/((1+$P$2)^A12)," ")</f>
        <v>26517.765367564436</v>
      </c>
      <c r="Q12" s="4">
        <f>IF(A12&lt;('2. Inputs and results'!$C$21+1),Q11+P12," ")</f>
        <v>175441.56448091479</v>
      </c>
      <c r="R12" s="4">
        <f>IF(A12&lt;('2. Inputs and results'!$C$21+1),R11+G12+I12+H12+J12+T12-$V$6,NA())</f>
        <v>-44390.489156252777</v>
      </c>
      <c r="S12" s="4">
        <f>IF(A12&lt;('2. Inputs and results'!$C$21+1),'2. Inputs and results'!$C$79*(R11)," ")</f>
        <v>-1505.6090062303999</v>
      </c>
      <c r="T12" s="4">
        <f t="shared" si="1"/>
        <v>-1505.6090062303999</v>
      </c>
      <c r="U12" s="4">
        <f>IF(A12&lt;('2. Inputs and results'!$C$21+1),U11+((G12+I12+H12+J12-$V$6+T12)/((1+$P$2)^A12)),NA())</f>
        <v>-70394.020941322902</v>
      </c>
      <c r="V12" s="4">
        <f>IF(A12&lt;('2. Inputs and results'!$C$21+1),V11+('2. Inputs and results'!$C$75*'2. Inputs and results'!$C$73)," ")</f>
        <v>17500</v>
      </c>
      <c r="W12" s="4">
        <f>IF(A12&lt;('2. Inputs and results'!$C$21+1),W11+C12+Y12-$V$6,NA())</f>
        <v>-79798.041623017576</v>
      </c>
      <c r="X12" s="4">
        <f>IF(A12&lt;('2. Inputs and results'!$C$21+1),'2. Inputs and results'!$C$79*(W11)," ")</f>
        <v>-1998.0008161375995</v>
      </c>
      <c r="Y12" s="4">
        <f t="shared" si="2"/>
        <v>-1998.0008161375995</v>
      </c>
      <c r="Z12" s="4">
        <f>IF(A12&lt;('2. Inputs and results'!$C$21+1),Z11+((C12-$V$6+Y12)/((1+$P$2)^A12)),NA())</f>
        <v>-99069.23030030934</v>
      </c>
      <c r="AA12" s="4">
        <f>IF(A12&lt;('2. Inputs and results'!$C$21+1),AA11+G12+I12+H12+T12-$V$6," ")</f>
        <v>168109.51084374727</v>
      </c>
      <c r="AB12" s="20">
        <f>IF(A12&lt;('2. Inputs and results'!$C$21+1),AA12/L12,NA())</f>
        <v>0.79110358044116358</v>
      </c>
      <c r="AC12" s="29">
        <f>IF(A12&lt;('2. Inputs and results'!$C$21+1),AC11+C12+Y12-$V$6," ")</f>
        <v>132701.95837698242</v>
      </c>
      <c r="AD12" s="20">
        <f>IF(A12&lt;('2. Inputs and results'!$C$21+1),AC12/L12,NA())</f>
        <v>0.62447980412697612</v>
      </c>
      <c r="AE12">
        <f>IF(A12&lt;('2. Inputs and results'!$C$21+1),-'2. Inputs and results'!$C$121*A12," ")</f>
        <v>-322000</v>
      </c>
      <c r="AF12">
        <f>IF(A12&lt;('2. Inputs and results'!$C$21+1),AE12/1000,NA())</f>
        <v>-322</v>
      </c>
    </row>
    <row r="13" spans="1:32" x14ac:dyDescent="0.25">
      <c r="A13">
        <f t="shared" si="0"/>
        <v>8</v>
      </c>
      <c r="B13">
        <f>IF(A13&lt;('2. Inputs and results'!$C$21+1),A13," ")</f>
        <v>8</v>
      </c>
      <c r="C13" s="4">
        <f>IF(A13&lt;('2. Inputs and results'!$C$21+1),'2. Inputs and results'!$C$99+'2. Inputs and results'!$C$101," ")</f>
        <v>24600</v>
      </c>
      <c r="D13" s="4">
        <f>IF(A13&lt;('2. Inputs and results'!$C$21+1),D12+C13,NA())</f>
        <v>196800</v>
      </c>
      <c r="E13" s="4">
        <f>IF(A13&lt;('2. Inputs and results'!$C$21+1),C13/((1+$P$2)^A13)," ")</f>
        <v>17974.979043048799</v>
      </c>
      <c r="F13" s="4">
        <f>IF(B13&lt;('2. Inputs and results'!$C$21+1),F12+E13," ")</f>
        <v>165625.52392377978</v>
      </c>
      <c r="G13" s="4">
        <f>IF(A13&lt;('2. Inputs and results'!$C$21+1),G12*(1+'2. Inputs and results'!$C$46)," ")</f>
        <v>67663.361654611217</v>
      </c>
      <c r="H13" s="4">
        <f>IF(A13&lt;('2. Inputs and results'!$C$21+1),H12*(1+'2. Inputs and results'!$C$58)," ")</f>
        <v>0</v>
      </c>
      <c r="I13" s="4">
        <f>IF(A13&lt;('2. Inputs and results'!$C$21+1),I12*(1+'2. Inputs and results'!$C$34)," ")</f>
        <v>-30674.057283423754</v>
      </c>
      <c r="J13" s="4">
        <f>IF(A13&lt;('2. Inputs and results'!$C$21+1),J12*(1+'2. Inputs and results'!$C$68)," ")</f>
        <v>0</v>
      </c>
      <c r="K13" s="4">
        <f>IF(A13&lt;('2. Inputs and results'!$C$21+1),K12+(G13+I13+H13+J13),NA())</f>
        <v>243477.71055764507</v>
      </c>
      <c r="L13" s="4">
        <f>IF(A13&lt;('2. Inputs and results'!$C$21+1),L12,NA())</f>
        <v>212500</v>
      </c>
      <c r="M13" s="4">
        <f>IF(A13&lt;('2. Inputs and results'!$C$21+1),'2. Inputs and results'!$C$75*'2. Inputs and results'!$C$73," ")</f>
        <v>2500</v>
      </c>
      <c r="N13" s="4">
        <f>IF(A13&lt;('2. Inputs and results'!$C$21+1),M13/((1+$P$2)^A13)," ")</f>
        <v>1826.7255125049594</v>
      </c>
      <c r="O13" s="4">
        <f>IF(A13&lt;('2. Inputs and results'!$C$21+1),'2. Inputs and results'!$C$73*'2. Inputs and results'!$C$75+O12," ")</f>
        <v>230000</v>
      </c>
      <c r="P13" s="4">
        <f>IF(A13&lt;('2. Inputs and results'!$C$21+1),(G13+I13+H13+J13)/((1+$P$2)^A13)," ")</f>
        <v>27027.722393863743</v>
      </c>
      <c r="Q13" s="4">
        <f>IF(A13&lt;('2. Inputs and results'!$C$21+1),Q12+P13," ")</f>
        <v>202469.28687477854</v>
      </c>
      <c r="R13" s="4">
        <f>IF(A13&lt;('2. Inputs and results'!$C$21+1),R12+G13+I13+H13+J13+T13-$V$6,NA())</f>
        <v>-10788.99456819037</v>
      </c>
      <c r="S13" s="4">
        <f>IF(A13&lt;('2. Inputs and results'!$C$21+1),'2. Inputs and results'!$C$79*(R12)," ")</f>
        <v>-887.80978312505556</v>
      </c>
      <c r="T13" s="4">
        <f t="shared" si="1"/>
        <v>-887.80978312505556</v>
      </c>
      <c r="U13" s="4">
        <f>IF(A13&lt;('2. Inputs and results'!$C$21+1),U12+((G13+I13+H13+J13-$V$6+T13)/((1+$P$2)^A13)),NA())</f>
        <v>-45841.737972398536</v>
      </c>
      <c r="V13" s="4">
        <f>IF(A13&lt;('2. Inputs and results'!$C$21+1),V12+('2. Inputs and results'!$C$75*'2. Inputs and results'!$C$73)," ")</f>
        <v>20000</v>
      </c>
      <c r="W13" s="4">
        <f>IF(A13&lt;('2. Inputs and results'!$C$21+1),W12+C13+Y13-$V$6,NA())</f>
        <v>-59294.00245547793</v>
      </c>
      <c r="X13" s="4">
        <f>IF(A13&lt;('2. Inputs and results'!$C$21+1),'2. Inputs and results'!$C$79*(W12)," ")</f>
        <v>-1595.9608324603516</v>
      </c>
      <c r="Y13" s="4">
        <f t="shared" si="2"/>
        <v>-1595.9608324603516</v>
      </c>
      <c r="Z13" s="4">
        <f>IF(A13&lt;('2. Inputs and results'!$C$21+1),Z12+((C13-$V$6+Y13)/((1+$P$2)^A13)),NA())</f>
        <v>-84087.129717611097</v>
      </c>
      <c r="AA13" s="4">
        <f>IF(A13&lt;('2. Inputs and results'!$C$21+1),AA12+G13+I13+H13+T13-$V$6," ")</f>
        <v>201711.00543180967</v>
      </c>
      <c r="AB13" s="20">
        <f>IF(A13&lt;('2. Inputs and results'!$C$21+1),AA13/L13,NA())</f>
        <v>0.94922826085557488</v>
      </c>
      <c r="AC13" s="29">
        <f>IF(A13&lt;('2. Inputs and results'!$C$21+1),AC12+C13+Y13-$V$6," ")</f>
        <v>153205.99754452208</v>
      </c>
      <c r="AD13" s="20">
        <f>IF(A13&lt;('2. Inputs and results'!$C$21+1),AC13/L13,NA())</f>
        <v>0.72096940020951561</v>
      </c>
      <c r="AE13">
        <f>IF(A13&lt;('2. Inputs and results'!$C$21+1),-'2. Inputs and results'!$C$121*A13," ")</f>
        <v>-368000</v>
      </c>
      <c r="AF13">
        <f>IF(A13&lt;('2. Inputs and results'!$C$21+1),AE13/1000,NA())</f>
        <v>-368</v>
      </c>
    </row>
    <row r="14" spans="1:32" x14ac:dyDescent="0.25">
      <c r="A14">
        <f t="shared" si="0"/>
        <v>9</v>
      </c>
      <c r="B14">
        <f>IF(A14&lt;('2. Inputs and results'!$C$21+1),A14," ")</f>
        <v>9</v>
      </c>
      <c r="C14" s="4">
        <f>IF(A14&lt;('2. Inputs and results'!$C$21+1),'2. Inputs and results'!$C$99+'2. Inputs and results'!$C$101," ")</f>
        <v>24600</v>
      </c>
      <c r="D14" s="4">
        <f>IF(A14&lt;('2. Inputs and results'!$C$21+1),D13+C14,NA())</f>
        <v>221400</v>
      </c>
      <c r="E14" s="4">
        <f>IF(A14&lt;('2. Inputs and results'!$C$21+1),C14/((1+$P$2)^A14)," ")</f>
        <v>17283.63369523923</v>
      </c>
      <c r="F14" s="4">
        <f>IF(B14&lt;('2. Inputs and results'!$C$21+1),F13+E14," ")</f>
        <v>182909.15761901901</v>
      </c>
      <c r="G14" s="4">
        <f>IF(A14&lt;('2. Inputs and results'!$C$21+1),G13*(1+'2. Inputs and results'!$C$46)," ")</f>
        <v>71723.163353887896</v>
      </c>
      <c r="H14" s="4">
        <f>IF(A14&lt;('2. Inputs and results'!$C$21+1),H13*(1+'2. Inputs and results'!$C$58)," ")</f>
        <v>0</v>
      </c>
      <c r="I14" s="4">
        <f>IF(A14&lt;('2. Inputs and results'!$C$21+1),I13*(1+'2. Inputs and results'!$C$34)," ")</f>
        <v>-32514.50072042918</v>
      </c>
      <c r="J14" s="4">
        <f>IF(A14&lt;('2. Inputs and results'!$C$21+1),J13*(1+'2. Inputs and results'!$C$68)," ")</f>
        <v>0</v>
      </c>
      <c r="K14" s="4">
        <f>IF(A14&lt;('2. Inputs and results'!$C$21+1),K13+(G14+I14+H14+J14),NA())</f>
        <v>282686.3731911038</v>
      </c>
      <c r="L14" s="4">
        <f>IF(A14&lt;('2. Inputs and results'!$C$21+1),L13,NA())</f>
        <v>212500</v>
      </c>
      <c r="M14" s="4">
        <f>IF(A14&lt;('2. Inputs and results'!$C$21+1),'2. Inputs and results'!$C$75*'2. Inputs and results'!$C$73," ")</f>
        <v>2500</v>
      </c>
      <c r="N14" s="4">
        <f>IF(A14&lt;('2. Inputs and results'!$C$21+1),M14/((1+$P$2)^A14)," ")</f>
        <v>1756.4668389470762</v>
      </c>
      <c r="O14" s="4">
        <f>IF(A14&lt;('2. Inputs and results'!$C$21+1),'2. Inputs and results'!$C$73*'2. Inputs and results'!$C$75+O13," ")</f>
        <v>232500</v>
      </c>
      <c r="P14" s="4">
        <f>IF(A14&lt;('2. Inputs and results'!$C$21+1),(G14+I14+H14+J14)/((1+$P$2)^A14)," ")</f>
        <v>27547.486286053434</v>
      </c>
      <c r="Q14" s="4">
        <f>IF(A14&lt;('2. Inputs and results'!$C$21+1),Q13+P14," ")</f>
        <v>230016.77316083197</v>
      </c>
      <c r="R14" s="4">
        <f>IF(A14&lt;('2. Inputs and results'!$C$21+1),R13+G14+I14+H14+J14+T14-$V$6,NA())</f>
        <v>25703.888173904539</v>
      </c>
      <c r="S14" s="4">
        <f>IF(A14&lt;('2. Inputs and results'!$C$21+1),'2. Inputs and results'!$C$79*(R13)," ")</f>
        <v>-215.77989136380739</v>
      </c>
      <c r="T14" s="4">
        <f t="shared" si="1"/>
        <v>-215.77989136380739</v>
      </c>
      <c r="U14" s="4">
        <f>IF(A14&lt;('2. Inputs and results'!$C$21+1),U13+((G14+I14+H14+J14-$V$6+T14)/((1+$P$2)^A14)),NA())</f>
        <v>-20202.322614769033</v>
      </c>
      <c r="V14" s="4">
        <f>IF(A14&lt;('2. Inputs and results'!$C$21+1),V13+('2. Inputs and results'!$C$75*'2. Inputs and results'!$C$73)," ")</f>
        <v>22500</v>
      </c>
      <c r="W14" s="4">
        <f>IF(A14&lt;('2. Inputs and results'!$C$21+1),W13+C14+Y14-$V$6,NA())</f>
        <v>-38379.882504587491</v>
      </c>
      <c r="X14" s="4">
        <f>IF(A14&lt;('2. Inputs and results'!$C$21+1),'2. Inputs and results'!$C$79*(W13)," ")</f>
        <v>-1185.8800491095587</v>
      </c>
      <c r="Y14" s="4">
        <f t="shared" si="2"/>
        <v>-1185.8800491095587</v>
      </c>
      <c r="Z14" s="4">
        <f>IF(A14&lt;('2. Inputs and results'!$C$21+1),Z13+((C14-$V$6+Y14)/((1+$P$2)^A14)),NA())</f>
        <v>-69393.146453810885</v>
      </c>
      <c r="AA14" s="4">
        <f>IF(A14&lt;('2. Inputs and results'!$C$21+1),AA13+G14+I14+H14+T14-$V$6," ")</f>
        <v>238203.88817390456</v>
      </c>
      <c r="AB14" s="20">
        <f>IF(A14&lt;('2. Inputs and results'!$C$21+1),AA14/L14,NA())</f>
        <v>1.120959473759551</v>
      </c>
      <c r="AC14" s="29">
        <f>IF(A14&lt;('2. Inputs and results'!$C$21+1),AC13+C14+Y14-$V$6," ")</f>
        <v>174120.11749541253</v>
      </c>
      <c r="AD14" s="20">
        <f>IF(A14&lt;('2. Inputs and results'!$C$21+1),AC14/L14,NA())</f>
        <v>0.81938878821370598</v>
      </c>
      <c r="AE14">
        <f>IF(A14&lt;('2. Inputs and results'!$C$21+1),-'2. Inputs and results'!$C$121*A14," ")</f>
        <v>-414000</v>
      </c>
      <c r="AF14">
        <f>IF(A14&lt;('2. Inputs and results'!$C$21+1),AE14/1000,NA())</f>
        <v>-414</v>
      </c>
    </row>
    <row r="15" spans="1:32" x14ac:dyDescent="0.25">
      <c r="A15">
        <f t="shared" si="0"/>
        <v>10</v>
      </c>
      <c r="B15">
        <f>IF(A15&lt;('2. Inputs and results'!$C$21+1),A15," ")</f>
        <v>10</v>
      </c>
      <c r="C15" s="4">
        <f>IF(A15&lt;('2. Inputs and results'!$C$21+1),'2. Inputs and results'!$C$99+'2. Inputs and results'!$C$101," ")</f>
        <v>24600</v>
      </c>
      <c r="D15" s="4">
        <f>IF(A15&lt;('2. Inputs and results'!$C$21+1),D14+C15,NA())</f>
        <v>246000</v>
      </c>
      <c r="E15" s="4">
        <f>IF(A15&lt;('2. Inputs and results'!$C$21+1),C15/((1+$P$2)^A15)," ")</f>
        <v>16618.878553114646</v>
      </c>
      <c r="F15" s="4">
        <f>IF(B15&lt;('2. Inputs and results'!$C$21+1),F14+E15," ")</f>
        <v>199528.03617213367</v>
      </c>
      <c r="G15" s="4">
        <f>IF(A15&lt;('2. Inputs and results'!$C$21+1),G14*(1+'2. Inputs and results'!$C$46)," ")</f>
        <v>76026.553155121175</v>
      </c>
      <c r="H15" s="4">
        <f>IF(A15&lt;('2. Inputs and results'!$C$21+1),H14*(1+'2. Inputs and results'!$C$58)," ")</f>
        <v>0</v>
      </c>
      <c r="I15" s="4">
        <f>IF(A15&lt;('2. Inputs and results'!$C$21+1),I14*(1+'2. Inputs and results'!$C$34)," ")</f>
        <v>-34465.37076365493</v>
      </c>
      <c r="J15" s="4">
        <f>IF(A15&lt;('2. Inputs and results'!$C$21+1),J14*(1+'2. Inputs and results'!$C$68)," ")</f>
        <v>0</v>
      </c>
      <c r="K15" s="4">
        <f>IF(A15&lt;('2. Inputs and results'!$C$21+1),K14+(G15+I15+H15+J15),NA())</f>
        <v>324247.55558257003</v>
      </c>
      <c r="L15" s="4">
        <f>IF(A15&lt;('2. Inputs and results'!$C$21+1),L14,NA())</f>
        <v>212500</v>
      </c>
      <c r="M15" s="4">
        <f>IF(A15&lt;('2. Inputs and results'!$C$21+1),'2. Inputs and results'!$C$75*'2. Inputs and results'!$C$73," ")</f>
        <v>2500</v>
      </c>
      <c r="N15" s="4">
        <f>IF(A15&lt;('2. Inputs and results'!$C$21+1),M15/((1+$P$2)^A15)," ")</f>
        <v>1688.9104220644963</v>
      </c>
      <c r="O15" s="4">
        <f>IF(A15&lt;('2. Inputs and results'!$C$21+1),'2. Inputs and results'!$C$73*'2. Inputs and results'!$C$75+O14," ")</f>
        <v>235000</v>
      </c>
      <c r="P15" s="4">
        <f>IF(A15&lt;('2. Inputs and results'!$C$21+1),(G15+I15+H15+J15)/((1+$P$2)^A15)," ")</f>
        <v>28077.245637708307</v>
      </c>
      <c r="Q15" s="4">
        <f>IF(A15&lt;('2. Inputs and results'!$C$21+1),Q14+P15," ")</f>
        <v>258094.01879854029</v>
      </c>
      <c r="R15" s="4">
        <f>IF(A15&lt;('2. Inputs and results'!$C$21+1),R14+G15+I15+H15+J15+T15-$V$6,NA())</f>
        <v>64765.070565370785</v>
      </c>
      <c r="S15" s="4">
        <f>IF(A15&lt;('2. Inputs and results'!$C$21+1),'2. Inputs and results'!$C$79*(R14)," ")</f>
        <v>514.07776347809079</v>
      </c>
      <c r="T15" s="4">
        <f t="shared" si="1"/>
        <v>0</v>
      </c>
      <c r="U15" s="4">
        <f>IF(A15&lt;('2. Inputs and results'!$C$21+1),U14+((G15+I15+H15+J15-$V$6+T15)/((1+$P$2)^A15)),NA())</f>
        <v>6186.0126008747793</v>
      </c>
      <c r="V15" s="4">
        <f>IF(A15&lt;('2. Inputs and results'!$C$21+1),V14+('2. Inputs and results'!$C$75*'2. Inputs and results'!$C$73)," ")</f>
        <v>25000</v>
      </c>
      <c r="W15" s="4">
        <f>IF(A15&lt;('2. Inputs and results'!$C$21+1),W14+C15+Y15-$V$6,NA())</f>
        <v>-17047.480154679241</v>
      </c>
      <c r="X15" s="4">
        <f>IF(A15&lt;('2. Inputs and results'!$C$21+1),'2. Inputs and results'!$C$79*(W14)," ")</f>
        <v>-767.59765009174987</v>
      </c>
      <c r="Y15" s="4">
        <f t="shared" si="2"/>
        <v>-767.59765009174987</v>
      </c>
      <c r="Z15" s="4">
        <f>IF(A15&lt;('2. Inputs and results'!$C$21+1),Z14+((C15-$V$6+Y15)/((1+$P$2)^A15)),NA())</f>
        <v>-54981.739791237604</v>
      </c>
      <c r="AA15" s="4">
        <f>IF(A15&lt;('2. Inputs and results'!$C$21+1),AA14+G15+I15+H15+T15-$V$6," ")</f>
        <v>277265.07056537078</v>
      </c>
      <c r="AB15" s="20">
        <f>IF(A15&lt;('2. Inputs and results'!$C$21+1),AA15/L15,NA())</f>
        <v>1.3047768026605684</v>
      </c>
      <c r="AC15" s="29">
        <f>IF(A15&lt;('2. Inputs and results'!$C$21+1),AC14+C15+Y15-$V$6," ")</f>
        <v>195452.51984532078</v>
      </c>
      <c r="AD15" s="20">
        <f>IF(A15&lt;('2. Inputs and results'!$C$21+1),AC15/L15,NA())</f>
        <v>0.91977656397798013</v>
      </c>
      <c r="AE15">
        <f>IF(A15&lt;('2. Inputs and results'!$C$21+1),-'2. Inputs and results'!$C$121*A15," ")</f>
        <v>-460000</v>
      </c>
      <c r="AF15">
        <f>IF(A15&lt;('2. Inputs and results'!$C$21+1),AE15/1000,NA())</f>
        <v>-460</v>
      </c>
    </row>
    <row r="16" spans="1:32" x14ac:dyDescent="0.25">
      <c r="A16">
        <f t="shared" si="0"/>
        <v>11</v>
      </c>
      <c r="B16">
        <f>IF(A16&lt;('2. Inputs and results'!$C$21+1),A16," ")</f>
        <v>11</v>
      </c>
      <c r="C16" s="4">
        <f>IF(A16&lt;('2. Inputs and results'!$C$21+1),'2. Inputs and results'!$C$99+'2. Inputs and results'!$C$101," ")</f>
        <v>24600</v>
      </c>
      <c r="D16" s="4">
        <f>IF(A16&lt;('2. Inputs and results'!$C$21+1),D15+C16,NA())</f>
        <v>270600</v>
      </c>
      <c r="E16" s="4">
        <f>IF(A16&lt;('2. Inputs and results'!$C$21+1),C16/((1+$P$2)^A16)," ")</f>
        <v>15979.690916456389</v>
      </c>
      <c r="F16" s="4">
        <f>IF(B16&lt;('2. Inputs and results'!$C$21+1),F15+E16," ")</f>
        <v>215507.72708859007</v>
      </c>
      <c r="G16" s="4">
        <f>IF(A16&lt;('2. Inputs and results'!$C$21+1),G15*(1+'2. Inputs and results'!$C$46)," ")</f>
        <v>80588.146344428445</v>
      </c>
      <c r="H16" s="4">
        <f>IF(A16&lt;('2. Inputs and results'!$C$21+1),H15*(1+'2. Inputs and results'!$C$58)," ")</f>
        <v>0</v>
      </c>
      <c r="I16" s="4">
        <f>IF(A16&lt;('2. Inputs and results'!$C$21+1),I15*(1+'2. Inputs and results'!$C$34)," ")</f>
        <v>-36533.293009474226</v>
      </c>
      <c r="J16" s="4">
        <f>IF(A16&lt;('2. Inputs and results'!$C$21+1),J15*(1+'2. Inputs and results'!$C$68)," ")</f>
        <v>0</v>
      </c>
      <c r="K16" s="4">
        <f>IF(A16&lt;('2. Inputs and results'!$C$21+1),K15+(G16+I16+H16+J16),NA())</f>
        <v>368302.40891752427</v>
      </c>
      <c r="L16" s="4">
        <f>IF(A16&lt;('2. Inputs and results'!$C$21+1),L15,NA())</f>
        <v>212500</v>
      </c>
      <c r="M16" s="4">
        <f>IF(A16&lt;('2. Inputs and results'!$C$21+1),'2. Inputs and results'!$C$75*'2. Inputs and results'!$C$73," ")</f>
        <v>2500</v>
      </c>
      <c r="N16" s="4">
        <f>IF(A16&lt;('2. Inputs and results'!$C$21+1),M16/((1+$P$2)^A16)," ")</f>
        <v>1623.9523289081696</v>
      </c>
      <c r="O16" s="4">
        <f>IF(A16&lt;('2. Inputs and results'!$C$21+1),'2. Inputs and results'!$C$73*'2. Inputs and results'!$C$75+O15," ")</f>
        <v>237500</v>
      </c>
      <c r="P16" s="4">
        <f>IF(A16&lt;('2. Inputs and results'!$C$21+1),(G16+I16+H16+J16)/((1+$P$2)^A16)," ")</f>
        <v>28617.192669202701</v>
      </c>
      <c r="Q16" s="4">
        <f>IF(A16&lt;('2. Inputs and results'!$C$21+1),Q15+P16," ")</f>
        <v>286711.21146774298</v>
      </c>
      <c r="R16" s="4">
        <f>IF(A16&lt;('2. Inputs and results'!$C$21+1),R15+G16+I16+H16+J16+T16-$V$6,NA())</f>
        <v>106319.923900325</v>
      </c>
      <c r="S16" s="4">
        <f>IF(A16&lt;('2. Inputs and results'!$C$21+1),'2. Inputs and results'!$C$79*(R15)," ")</f>
        <v>1295.3014113074157</v>
      </c>
      <c r="T16" s="4">
        <f t="shared" si="1"/>
        <v>0</v>
      </c>
      <c r="U16" s="4">
        <f>IF(A16&lt;('2. Inputs and results'!$C$21+1),U15+((G16+I16+H16+J16-$V$6+T16)/((1+$P$2)^A16)),NA())</f>
        <v>33179.25294116931</v>
      </c>
      <c r="V16" s="4">
        <f>IF(A16&lt;('2. Inputs and results'!$C$21+1),V15+('2. Inputs and results'!$C$75*'2. Inputs and results'!$C$73)," ")</f>
        <v>27500</v>
      </c>
      <c r="W16" s="4">
        <f>IF(A16&lt;('2. Inputs and results'!$C$21+1),W15+C16+Y16-$V$6,NA())</f>
        <v>4711.5702422271743</v>
      </c>
      <c r="X16" s="4">
        <f>IF(A16&lt;('2. Inputs and results'!$C$21+1),'2. Inputs and results'!$C$79*(W15)," ")</f>
        <v>-340.94960309358481</v>
      </c>
      <c r="Y16" s="4">
        <f t="shared" si="2"/>
        <v>-340.94960309358481</v>
      </c>
      <c r="Z16" s="4">
        <f>IF(A16&lt;('2. Inputs and results'!$C$21+1),Z15+((C16-$V$6+Y16)/((1+$P$2)^A16)),NA())</f>
        <v>-40847.475564483044</v>
      </c>
      <c r="AA16" s="4">
        <f>IF(A16&lt;('2. Inputs and results'!$C$21+1),AA15+G16+I16+H16+T16-$V$6," ")</f>
        <v>318819.92390032503</v>
      </c>
      <c r="AB16" s="20">
        <f>IF(A16&lt;('2. Inputs and results'!$C$21+1),AA16/L16,NA())</f>
        <v>1.5003290536485883</v>
      </c>
      <c r="AC16" s="29">
        <f>IF(A16&lt;('2. Inputs and results'!$C$21+1),AC15+C16+Y16-$V$6," ")</f>
        <v>217211.5702422272</v>
      </c>
      <c r="AD16" s="20">
        <f>IF(A16&lt;('2. Inputs and results'!$C$21+1),AC16/L16,NA())</f>
        <v>1.0221720952575397</v>
      </c>
      <c r="AE16">
        <f>IF(A16&lt;('2. Inputs and results'!$C$21+1),-'2. Inputs and results'!$C$121*A16," ")</f>
        <v>-506000</v>
      </c>
      <c r="AF16">
        <f>IF(A16&lt;('2. Inputs and results'!$C$21+1),AE16/1000,NA())</f>
        <v>-506</v>
      </c>
    </row>
    <row r="17" spans="1:32" x14ac:dyDescent="0.25">
      <c r="A17">
        <f t="shared" si="0"/>
        <v>12</v>
      </c>
      <c r="B17">
        <f>IF(A17&lt;('2. Inputs and results'!$C$21+1),A17," ")</f>
        <v>12</v>
      </c>
      <c r="C17" s="4">
        <f>IF(A17&lt;('2. Inputs and results'!$C$21+1),'2. Inputs and results'!$C$99+'2. Inputs and results'!$C$101," ")</f>
        <v>24600</v>
      </c>
      <c r="D17" s="4">
        <f>IF(A17&lt;('2. Inputs and results'!$C$21+1),D16+C17,NA())</f>
        <v>295200</v>
      </c>
      <c r="E17" s="4">
        <f>IF(A17&lt;('2. Inputs and results'!$C$21+1),C17/((1+$P$2)^A17)," ")</f>
        <v>15365.087419669602</v>
      </c>
      <c r="F17" s="4">
        <f>IF(B17&lt;('2. Inputs and results'!$C$21+1),F16+E17," ")</f>
        <v>230872.81450825967</v>
      </c>
      <c r="G17" s="4">
        <f>IF(A17&lt;('2. Inputs and results'!$C$21+1),G16*(1+'2. Inputs and results'!$C$46)," ")</f>
        <v>85423.435125094155</v>
      </c>
      <c r="H17" s="4">
        <f>IF(A17&lt;('2. Inputs and results'!$C$21+1),H16*(1+'2. Inputs and results'!$C$58)," ")</f>
        <v>0</v>
      </c>
      <c r="I17" s="4">
        <f>IF(A17&lt;('2. Inputs and results'!$C$21+1),I16*(1+'2. Inputs and results'!$C$34)," ")</f>
        <v>-38725.290590042685</v>
      </c>
      <c r="J17" s="4">
        <f>IF(A17&lt;('2. Inputs and results'!$C$21+1),J16*(1+'2. Inputs and results'!$C$68)," ")</f>
        <v>0</v>
      </c>
      <c r="K17" s="4">
        <f>IF(A17&lt;('2. Inputs and results'!$C$21+1),K16+(G17+I17+H17+J17),NA())</f>
        <v>415000.55345257575</v>
      </c>
      <c r="L17" s="4">
        <f>IF(A17&lt;('2. Inputs and results'!$C$21+1),L16,NA())</f>
        <v>212500</v>
      </c>
      <c r="M17" s="4">
        <f>IF(A17&lt;('2. Inputs and results'!$C$21+1),'2. Inputs and results'!$C$75*'2. Inputs and results'!$C$73," ")</f>
        <v>2500</v>
      </c>
      <c r="N17" s="4">
        <f>IF(A17&lt;('2. Inputs and results'!$C$21+1),M17/((1+$P$2)^A17)," ")</f>
        <v>1561.4926239501629</v>
      </c>
      <c r="O17" s="4">
        <f>IF(A17&lt;('2. Inputs and results'!$C$21+1),'2. Inputs and results'!$C$73*'2. Inputs and results'!$C$75+O16," ")</f>
        <v>240000</v>
      </c>
      <c r="P17" s="4">
        <f>IF(A17&lt;('2. Inputs and results'!$C$21+1),(G17+I17+H17+J17)/((1+$P$2)^A17)," ")</f>
        <v>29167.523297456592</v>
      </c>
      <c r="Q17" s="4">
        <f>IF(A17&lt;('2. Inputs and results'!$C$21+1),Q16+P17," ")</f>
        <v>315878.7347651996</v>
      </c>
      <c r="R17" s="4">
        <f>IF(A17&lt;('2. Inputs and results'!$C$21+1),R16+G17+I17+H17+J17+T17-$V$6,NA())</f>
        <v>150518.06843537648</v>
      </c>
      <c r="S17" s="4">
        <f>IF(A17&lt;('2. Inputs and results'!$C$21+1),'2. Inputs and results'!$C$79*(R16)," ")</f>
        <v>2126.3984780064998</v>
      </c>
      <c r="T17" s="4">
        <f t="shared" si="1"/>
        <v>0</v>
      </c>
      <c r="U17" s="4">
        <f>IF(A17&lt;('2. Inputs and results'!$C$21+1),U16+((G17+I17+H17+J17-$V$6+T17)/((1+$P$2)^A17)),NA())</f>
        <v>60785.28361467574</v>
      </c>
      <c r="V17" s="4">
        <f>IF(A17&lt;('2. Inputs and results'!$C$21+1),V16+('2. Inputs and results'!$C$75*'2. Inputs and results'!$C$73)," ")</f>
        <v>30000</v>
      </c>
      <c r="W17" s="4">
        <f>IF(A17&lt;('2. Inputs and results'!$C$21+1),W16+C17+Y17-$V$6,NA())</f>
        <v>26811.570242227175</v>
      </c>
      <c r="X17" s="4">
        <f>IF(A17&lt;('2. Inputs and results'!$C$21+1),'2. Inputs and results'!$C$79*(W16)," ")</f>
        <v>94.231404844543491</v>
      </c>
      <c r="Y17" s="4">
        <f t="shared" si="2"/>
        <v>0</v>
      </c>
      <c r="Z17" s="4">
        <f>IF(A17&lt;('2. Inputs and results'!$C$21+1),Z16+((C17-$V$6+Y17)/((1+$P$2)^A17)),NA())</f>
        <v>-27043.880768763604</v>
      </c>
      <c r="AA17" s="4">
        <f>IF(A17&lt;('2. Inputs and results'!$C$21+1),AA16+G17+I17+H17+T17-$V$6," ")</f>
        <v>363018.06843537651</v>
      </c>
      <c r="AB17" s="20">
        <f>IF(A17&lt;('2. Inputs and results'!$C$21+1),AA17/L17,NA())</f>
        <v>1.7083203220488306</v>
      </c>
      <c r="AC17" s="29">
        <f>IF(A17&lt;('2. Inputs and results'!$C$21+1),AC16+C17+Y17-$V$6," ")</f>
        <v>239311.5702422272</v>
      </c>
      <c r="AD17" s="20">
        <f>IF(A17&lt;('2. Inputs and results'!$C$21+1),AC17/L17,NA())</f>
        <v>1.1261720952575398</v>
      </c>
      <c r="AE17">
        <f>IF(A17&lt;('2. Inputs and results'!$C$21+1),-'2. Inputs and results'!$C$121*A17," ")</f>
        <v>-552000</v>
      </c>
      <c r="AF17">
        <f>IF(A17&lt;('2. Inputs and results'!$C$21+1),AE17/1000,NA())</f>
        <v>-552</v>
      </c>
    </row>
    <row r="18" spans="1:32" x14ac:dyDescent="0.25">
      <c r="A18">
        <f t="shared" si="0"/>
        <v>13</v>
      </c>
      <c r="B18">
        <f>IF(A18&lt;('2. Inputs and results'!$C$21+1),A18," ")</f>
        <v>13</v>
      </c>
      <c r="C18" s="4">
        <f>IF(A18&lt;('2. Inputs and results'!$C$21+1),'2. Inputs and results'!$C$99+'2. Inputs and results'!$C$101," ")</f>
        <v>24600</v>
      </c>
      <c r="D18" s="4">
        <f>IF(A18&lt;('2. Inputs and results'!$C$21+1),D17+C18,NA())</f>
        <v>319800</v>
      </c>
      <c r="E18" s="4">
        <f>IF(A18&lt;('2. Inputs and results'!$C$21+1),C18/((1+$P$2)^A18)," ")</f>
        <v>14774.122518913078</v>
      </c>
      <c r="F18" s="4">
        <f>IF(B18&lt;('2. Inputs and results'!$C$21+1),F17+E18," ")</f>
        <v>245646.93702717277</v>
      </c>
      <c r="G18" s="4">
        <f>IF(A18&lt;('2. Inputs and results'!$C$21+1),G17*(1+'2. Inputs and results'!$C$46)," ")</f>
        <v>90548.841232599807</v>
      </c>
      <c r="H18" s="4">
        <f>IF(A18&lt;('2. Inputs and results'!$C$21+1),H17*(1+'2. Inputs and results'!$C$58)," ")</f>
        <v>0</v>
      </c>
      <c r="I18" s="4">
        <f>IF(A18&lt;('2. Inputs and results'!$C$21+1),I17*(1+'2. Inputs and results'!$C$34)," ")</f>
        <v>-41048.808025445251</v>
      </c>
      <c r="J18" s="4">
        <f>IF(A18&lt;('2. Inputs and results'!$C$21+1),J17*(1+'2. Inputs and results'!$C$68)," ")</f>
        <v>0</v>
      </c>
      <c r="K18" s="4">
        <f>IF(A18&lt;('2. Inputs and results'!$C$21+1),K17+(G18+I18+H18+J18),NA())</f>
        <v>464500.5866597303</v>
      </c>
      <c r="L18" s="4">
        <f>IF(A18&lt;('2. Inputs and results'!$C$21+1),L17,NA())</f>
        <v>212500</v>
      </c>
      <c r="M18" s="4">
        <f>IF(A18&lt;('2. Inputs and results'!$C$21+1),'2. Inputs and results'!$C$75*'2. Inputs and results'!$C$73," ")</f>
        <v>2500</v>
      </c>
      <c r="N18" s="4">
        <f>IF(A18&lt;('2. Inputs and results'!$C$21+1),M18/((1+$P$2)^A18)," ")</f>
        <v>1501.4352153366949</v>
      </c>
      <c r="O18" s="4">
        <f>IF(A18&lt;('2. Inputs and results'!$C$21+1),'2. Inputs and results'!$C$73*'2. Inputs and results'!$C$75+O17," ")</f>
        <v>242500</v>
      </c>
      <c r="P18" s="4">
        <f>IF(A18&lt;('2. Inputs and results'!$C$21+1),(G18+I18+H18+J18)/((1+$P$2)^A18)," ")</f>
        <v>29728.43720702306</v>
      </c>
      <c r="Q18" s="4">
        <f>IF(A18&lt;('2. Inputs and results'!$C$21+1),Q17+P18," ")</f>
        <v>345607.17197222263</v>
      </c>
      <c r="R18" s="4">
        <f>IF(A18&lt;('2. Inputs and results'!$C$21+1),R17+G18+I18+H18+J18+T18-$V$6,NA())</f>
        <v>197518.10164253105</v>
      </c>
      <c r="S18" s="4">
        <f>IF(A18&lt;('2. Inputs and results'!$C$21+1),'2. Inputs and results'!$C$79*(R17)," ")</f>
        <v>3010.3613687075299</v>
      </c>
      <c r="T18" s="4">
        <f t="shared" si="1"/>
        <v>0</v>
      </c>
      <c r="U18" s="4">
        <f>IF(A18&lt;('2. Inputs and results'!$C$21+1),U17+((G18+I18+H18+J18-$V$6+T18)/((1+$P$2)^A18)),NA())</f>
        <v>89012.2856063621</v>
      </c>
      <c r="V18" s="4">
        <f>IF(A18&lt;('2. Inputs and results'!$C$21+1),V17+('2. Inputs and results'!$C$75*'2. Inputs and results'!$C$73)," ")</f>
        <v>32500</v>
      </c>
      <c r="W18" s="4">
        <f>IF(A18&lt;('2. Inputs and results'!$C$21+1),W17+C18+Y18-$V$6,NA())</f>
        <v>48911.570242227172</v>
      </c>
      <c r="X18" s="4">
        <f>IF(A18&lt;('2. Inputs and results'!$C$21+1),'2. Inputs and results'!$C$79*(W17)," ")</f>
        <v>536.23140484454348</v>
      </c>
      <c r="Y18" s="4">
        <f t="shared" si="2"/>
        <v>0</v>
      </c>
      <c r="Z18" s="4">
        <f>IF(A18&lt;('2. Inputs and results'!$C$21+1),Z17+((C18-$V$6+Y18)/((1+$P$2)^A18)),NA())</f>
        <v>-13771.19346518722</v>
      </c>
      <c r="AA18" s="4">
        <f>IF(A18&lt;('2. Inputs and results'!$C$21+1),AA17+G18+I18+H18+T18-$V$6," ")</f>
        <v>410018.10164253105</v>
      </c>
      <c r="AB18" s="20">
        <f>IF(A18&lt;('2. Inputs and results'!$C$21+1),AA18/L18,NA())</f>
        <v>1.9294969489060285</v>
      </c>
      <c r="AC18" s="29">
        <f>IF(A18&lt;('2. Inputs and results'!$C$21+1),AC17+C18+Y18-$V$6," ")</f>
        <v>261411.57024222717</v>
      </c>
      <c r="AD18" s="20">
        <f>IF(A18&lt;('2. Inputs and results'!$C$21+1),AC18/L18,NA())</f>
        <v>1.2301720952575397</v>
      </c>
      <c r="AE18">
        <f>IF(A18&lt;('2. Inputs and results'!$C$21+1),-'2. Inputs and results'!$C$121*A18," ")</f>
        <v>-598000</v>
      </c>
      <c r="AF18">
        <f>IF(A18&lt;('2. Inputs and results'!$C$21+1),AE18/1000,NA())</f>
        <v>-598</v>
      </c>
    </row>
    <row r="19" spans="1:32" x14ac:dyDescent="0.25">
      <c r="A19">
        <f t="shared" si="0"/>
        <v>14</v>
      </c>
      <c r="B19">
        <f>IF(A19&lt;('2. Inputs and results'!$C$21+1),A19," ")</f>
        <v>14</v>
      </c>
      <c r="C19" s="4">
        <f>IF(A19&lt;('2. Inputs and results'!$C$21+1),'2. Inputs and results'!$C$99+'2. Inputs and results'!$C$101," ")</f>
        <v>24600</v>
      </c>
      <c r="D19" s="4">
        <f>IF(A19&lt;('2. Inputs and results'!$C$21+1),D18+C19,NA())</f>
        <v>344400</v>
      </c>
      <c r="E19" s="4">
        <f>IF(A19&lt;('2. Inputs and results'!$C$21+1),C19/((1+$P$2)^A19)," ")</f>
        <v>14205.887037416422</v>
      </c>
      <c r="F19" s="4">
        <f>IF(B19&lt;('2. Inputs and results'!$C$21+1),F18+E19," ")</f>
        <v>259852.82406458919</v>
      </c>
      <c r="G19" s="4">
        <f>IF(A19&lt;('2. Inputs and results'!$C$21+1),G18*(1+'2. Inputs and results'!$C$46)," ")</f>
        <v>95981.771706555795</v>
      </c>
      <c r="H19" s="4">
        <f>IF(A19&lt;('2. Inputs and results'!$C$21+1),H18*(1+'2. Inputs and results'!$C$58)," ")</f>
        <v>0</v>
      </c>
      <c r="I19" s="4">
        <f>IF(A19&lt;('2. Inputs and results'!$C$21+1),I18*(1+'2. Inputs and results'!$C$34)," ")</f>
        <v>-43511.736506971967</v>
      </c>
      <c r="J19" s="4">
        <f>IF(A19&lt;('2. Inputs and results'!$C$21+1),J18*(1+'2. Inputs and results'!$C$68)," ")</f>
        <v>0</v>
      </c>
      <c r="K19" s="4">
        <f>IF(A19&lt;('2. Inputs and results'!$C$21+1),K18+(G19+I19+H19+J19),NA())</f>
        <v>516970.62185931415</v>
      </c>
      <c r="L19" s="4">
        <f>IF(A19&lt;('2. Inputs and results'!$C$21+1),L18,NA())</f>
        <v>212500</v>
      </c>
      <c r="M19" s="4">
        <f>IF(A19&lt;('2. Inputs and results'!$C$21+1),'2. Inputs and results'!$C$75*'2. Inputs and results'!$C$73," ")</f>
        <v>2500</v>
      </c>
      <c r="N19" s="4">
        <f>IF(A19&lt;('2. Inputs and results'!$C$21+1),M19/((1+$P$2)^A19)," ")</f>
        <v>1443.6877070545145</v>
      </c>
      <c r="O19" s="4">
        <f>IF(A19&lt;('2. Inputs and results'!$C$21+1),'2. Inputs and results'!$C$73*'2. Inputs and results'!$C$75+O18," ")</f>
        <v>245000</v>
      </c>
      <c r="P19" s="4">
        <f>IF(A19&lt;('2. Inputs and results'!$C$21+1),(G19+I19+H19+J19)/((1+$P$2)^A19)," ")</f>
        <v>30300.137922542737</v>
      </c>
      <c r="Q19" s="4">
        <f>IF(A19&lt;('2. Inputs and results'!$C$21+1),Q18+P19," ")</f>
        <v>375907.30989476538</v>
      </c>
      <c r="R19" s="4">
        <f>IF(A19&lt;('2. Inputs and results'!$C$21+1),R18+G19+I19+H19+J19+T19-$V$6,NA())</f>
        <v>247488.13684211488</v>
      </c>
      <c r="S19" s="4">
        <f>IF(A19&lt;('2. Inputs and results'!$C$21+1),'2. Inputs and results'!$C$79*(R18)," ")</f>
        <v>3950.3620328506213</v>
      </c>
      <c r="T19" s="4">
        <f t="shared" si="1"/>
        <v>0</v>
      </c>
      <c r="U19" s="4">
        <f>IF(A19&lt;('2. Inputs and results'!$C$21+1),U18+((G19+I19+H19+J19-$V$6+T19)/((1+$P$2)^A19)),NA())</f>
        <v>117868.73582185032</v>
      </c>
      <c r="V19" s="4">
        <f>IF(A19&lt;('2. Inputs and results'!$C$21+1),V18+('2. Inputs and results'!$C$75*'2. Inputs and results'!$C$73)," ")</f>
        <v>35000</v>
      </c>
      <c r="W19" s="4">
        <f>IF(A19&lt;('2. Inputs and results'!$C$21+1),W18+C19+Y19-$V$6,NA())</f>
        <v>71011.570242227172</v>
      </c>
      <c r="X19" s="4">
        <f>IF(A19&lt;('2. Inputs and results'!$C$21+1),'2. Inputs and results'!$C$79*(W18)," ")</f>
        <v>978.23140484454348</v>
      </c>
      <c r="Y19" s="4">
        <f t="shared" si="2"/>
        <v>0</v>
      </c>
      <c r="Z19" s="4">
        <f>IF(A19&lt;('2. Inputs and results'!$C$21+1),Z18+((C19-$V$6+Y19)/((1+$P$2)^A19)),NA())</f>
        <v>-1008.9941348253124</v>
      </c>
      <c r="AA19" s="4">
        <f>IF(A19&lt;('2. Inputs and results'!$C$21+1),AA18+G19+I19+H19+T19-$V$6," ")</f>
        <v>459988.13684211485</v>
      </c>
      <c r="AB19" s="20">
        <f>IF(A19&lt;('2. Inputs and results'!$C$21+1),AA19/L19,NA())</f>
        <v>2.1646500557275994</v>
      </c>
      <c r="AC19" s="29">
        <f>IF(A19&lt;('2. Inputs and results'!$C$21+1),AC18+C19+Y19-$V$6," ")</f>
        <v>283511.57024222717</v>
      </c>
      <c r="AD19" s="20">
        <f>IF(A19&lt;('2. Inputs and results'!$C$21+1),AC19/L19,NA())</f>
        <v>1.3341720952575395</v>
      </c>
      <c r="AE19">
        <f>IF(A19&lt;('2. Inputs and results'!$C$21+1),-'2. Inputs and results'!$C$121*A19," ")</f>
        <v>-644000</v>
      </c>
      <c r="AF19">
        <f>IF(A19&lt;('2. Inputs and results'!$C$21+1),AE19/1000,NA())</f>
        <v>-644</v>
      </c>
    </row>
    <row r="20" spans="1:32" x14ac:dyDescent="0.25">
      <c r="A20">
        <f t="shared" si="0"/>
        <v>15</v>
      </c>
      <c r="B20">
        <f>IF(A20&lt;('2. Inputs and results'!$C$21+1),A20," ")</f>
        <v>15</v>
      </c>
      <c r="C20" s="4">
        <f>IF(A20&lt;('2. Inputs and results'!$C$21+1),'2. Inputs and results'!$C$99+'2. Inputs and results'!$C$101," ")</f>
        <v>24600</v>
      </c>
      <c r="D20" s="4">
        <f>IF(A20&lt;('2. Inputs and results'!$C$21+1),D19+C20,NA())</f>
        <v>369000</v>
      </c>
      <c r="E20" s="4">
        <f>IF(A20&lt;('2. Inputs and results'!$C$21+1),C20/((1+$P$2)^A20)," ")</f>
        <v>13659.506766746561</v>
      </c>
      <c r="F20" s="4">
        <f>IF(B20&lt;('2. Inputs and results'!$C$21+1),F19+E20," ")</f>
        <v>273512.33083133574</v>
      </c>
      <c r="G20" s="4">
        <f>IF(A20&lt;('2. Inputs and results'!$C$21+1),G19*(1+'2. Inputs and results'!$C$46)," ")</f>
        <v>101740.67800894915</v>
      </c>
      <c r="H20" s="4">
        <f>IF(A20&lt;('2. Inputs and results'!$C$21+1),H19*(1+'2. Inputs and results'!$C$58)," ")</f>
        <v>0</v>
      </c>
      <c r="I20" s="4">
        <f>IF(A20&lt;('2. Inputs and results'!$C$21+1),I19*(1+'2. Inputs and results'!$C$34)," ")</f>
        <v>-46122.440697390288</v>
      </c>
      <c r="J20" s="4">
        <f>IF(A20&lt;('2. Inputs and results'!$C$21+1),J19*(1+'2. Inputs and results'!$C$68)," ")</f>
        <v>0</v>
      </c>
      <c r="K20" s="4">
        <f>IF(A20&lt;('2. Inputs and results'!$C$21+1),K19+(G20+I20+H20+J20),NA())</f>
        <v>572588.85917087307</v>
      </c>
      <c r="L20" s="4">
        <f>IF(A20&lt;('2. Inputs and results'!$C$21+1),L19,NA())</f>
        <v>212500</v>
      </c>
      <c r="M20" s="4">
        <f>IF(A20&lt;('2. Inputs and results'!$C$21+1),'2. Inputs and results'!$C$75*'2. Inputs and results'!$C$73," ")</f>
        <v>2500</v>
      </c>
      <c r="N20" s="4">
        <f>IF(A20&lt;('2. Inputs and results'!$C$21+1),M20/((1+$P$2)^A20)," ")</f>
        <v>1388.1612567831869</v>
      </c>
      <c r="O20" s="4">
        <f>IF(A20&lt;('2. Inputs and results'!$C$21+1),'2. Inputs and results'!$C$73*'2. Inputs and results'!$C$75+O19," ")</f>
        <v>247500</v>
      </c>
      <c r="P20" s="4">
        <f>IF(A20&lt;('2. Inputs and results'!$C$21+1),(G20+I20+H20+J20)/((1+$P$2)^A20)," ")</f>
        <v>30882.83288259164</v>
      </c>
      <c r="Q20" s="4">
        <f>IF(A20&lt;('2. Inputs and results'!$C$21+1),Q19+P20," ")</f>
        <v>406790.14277735702</v>
      </c>
      <c r="R20" s="4">
        <f>IF(A20&lt;('2. Inputs and results'!$C$21+1),R19+G20+I20+H20+J20+T20-$V$6,NA())</f>
        <v>300606.37415367371</v>
      </c>
      <c r="S20" s="4">
        <f>IF(A20&lt;('2. Inputs and results'!$C$21+1),'2. Inputs and results'!$C$79*(R19)," ")</f>
        <v>4949.7627368422973</v>
      </c>
      <c r="T20" s="4">
        <f t="shared" si="1"/>
        <v>0</v>
      </c>
      <c r="U20" s="4">
        <f>IF(A20&lt;('2. Inputs and results'!$C$21+1),U19+((G20+I20+H20+J20-$V$6+T20)/((1+$P$2)^A20)),NA())</f>
        <v>147363.40744765877</v>
      </c>
      <c r="V20" s="4">
        <f>IF(A20&lt;('2. Inputs and results'!$C$21+1),V19+('2. Inputs and results'!$C$75*'2. Inputs and results'!$C$73)," ")</f>
        <v>37500</v>
      </c>
      <c r="W20" s="4">
        <f>IF(A20&lt;('2. Inputs and results'!$C$21+1),W19+C20+Y20-$V$6,NA())</f>
        <v>93111.570242227172</v>
      </c>
      <c r="X20" s="4">
        <f>IF(A20&lt;('2. Inputs and results'!$C$21+1),'2. Inputs and results'!$C$79*(W19)," ")</f>
        <v>1420.2314048445435</v>
      </c>
      <c r="Y20" s="4">
        <f t="shared" si="2"/>
        <v>0</v>
      </c>
      <c r="Z20" s="4">
        <f>IF(A20&lt;('2. Inputs and results'!$C$21+1),Z19+((C20-$V$6+Y20)/((1+$P$2)^A20)),NA())</f>
        <v>11262.351375138061</v>
      </c>
      <c r="AA20" s="4">
        <f>IF(A20&lt;('2. Inputs and results'!$C$21+1),AA19+G20+I20+H20+T20-$V$6," ")</f>
        <v>513106.37415367371</v>
      </c>
      <c r="AB20" s="20">
        <f>IF(A20&lt;('2. Inputs and results'!$C$21+1),AA20/L20,NA())</f>
        <v>2.4146182313114055</v>
      </c>
      <c r="AC20" s="29">
        <f>IF(A20&lt;('2. Inputs and results'!$C$21+1),AC19+C20+Y20-$V$6," ")</f>
        <v>305611.57024222717</v>
      </c>
      <c r="AD20" s="20">
        <f>IF(A20&lt;('2. Inputs and results'!$C$21+1),AC20/L20,NA())</f>
        <v>1.4381720952575396</v>
      </c>
      <c r="AE20">
        <f>IF(A20&lt;('2. Inputs and results'!$C$21+1),-'2. Inputs and results'!$C$121*A20," ")</f>
        <v>-690000</v>
      </c>
      <c r="AF20">
        <f>IF(A20&lt;('2. Inputs and results'!$C$21+1),AE20/1000,NA())</f>
        <v>-690</v>
      </c>
    </row>
    <row r="21" spans="1:32" x14ac:dyDescent="0.25">
      <c r="A21">
        <f t="shared" si="0"/>
        <v>16</v>
      </c>
      <c r="B21">
        <f>IF(A21&lt;('2. Inputs and results'!$C$21+1),A21," ")</f>
        <v>16</v>
      </c>
      <c r="C21" s="4">
        <f>IF(A21&lt;('2. Inputs and results'!$C$21+1),'2. Inputs and results'!$C$99+'2. Inputs and results'!$C$101," ")</f>
        <v>24600</v>
      </c>
      <c r="D21" s="4">
        <f>IF(A21&lt;('2. Inputs and results'!$C$21+1),D20+C21,NA())</f>
        <v>393600</v>
      </c>
      <c r="E21" s="4">
        <f>IF(A21&lt;('2. Inputs and results'!$C$21+1),C21/((1+$P$2)^A21)," ")</f>
        <v>13134.141121871689</v>
      </c>
      <c r="F21" s="4">
        <f>IF(B21&lt;('2. Inputs and results'!$C$21+1),F20+E21," ")</f>
        <v>286646.47195320745</v>
      </c>
      <c r="G21" s="4">
        <f>IF(A21&lt;('2. Inputs and results'!$C$21+1),G20*(1+'2. Inputs and results'!$C$46)," ")</f>
        <v>107845.1186894861</v>
      </c>
      <c r="H21" s="4">
        <f>IF(A21&lt;('2. Inputs and results'!$C$21+1),H20*(1+'2. Inputs and results'!$C$58)," ")</f>
        <v>0</v>
      </c>
      <c r="I21" s="4">
        <f>IF(A21&lt;('2. Inputs and results'!$C$21+1),I20*(1+'2. Inputs and results'!$C$34)," ")</f>
        <v>-48889.787139233711</v>
      </c>
      <c r="J21" s="4">
        <f>IF(A21&lt;('2. Inputs and results'!$C$21+1),J20*(1+'2. Inputs and results'!$C$68)," ")</f>
        <v>0</v>
      </c>
      <c r="K21" s="4">
        <f>IF(A21&lt;('2. Inputs and results'!$C$21+1),K20+(G21+I21+H21+J21),NA())</f>
        <v>631544.19072112546</v>
      </c>
      <c r="L21" s="4">
        <f>IF(A21&lt;('2. Inputs and results'!$C$21+1),L20,NA())</f>
        <v>212500</v>
      </c>
      <c r="M21" s="4">
        <f>IF(A21&lt;('2. Inputs and results'!$C$21+1),'2. Inputs and results'!$C$75*'2. Inputs and results'!$C$73," ")</f>
        <v>2500</v>
      </c>
      <c r="N21" s="4">
        <f>IF(A21&lt;('2. Inputs and results'!$C$21+1),M21/((1+$P$2)^A21)," ")</f>
        <v>1334.7704392146027</v>
      </c>
      <c r="O21" s="4">
        <f>IF(A21&lt;('2. Inputs and results'!$C$21+1),'2. Inputs and results'!$C$73*'2. Inputs and results'!$C$75+O20," ")</f>
        <v>250000</v>
      </c>
      <c r="P21" s="4">
        <f>IF(A21&lt;('2. Inputs and results'!$C$21+1),(G21+I21+H21+J21)/((1+$P$2)^A21)," ")</f>
        <v>31476.733514949163</v>
      </c>
      <c r="Q21" s="4">
        <f>IF(A21&lt;('2. Inputs and results'!$C$21+1),Q20+P21," ")</f>
        <v>438266.87629230617</v>
      </c>
      <c r="R21" s="4">
        <f>IF(A21&lt;('2. Inputs and results'!$C$21+1),R20+G21+I21+H21+J21+T21-$V$6,NA())</f>
        <v>357061.7057039261</v>
      </c>
      <c r="S21" s="4">
        <f>IF(A21&lt;('2. Inputs and results'!$C$21+1),'2. Inputs and results'!$C$79*(R20)," ")</f>
        <v>6012.1274830734747</v>
      </c>
      <c r="T21" s="4">
        <f t="shared" si="1"/>
        <v>0</v>
      </c>
      <c r="U21" s="4">
        <f>IF(A21&lt;('2. Inputs and results'!$C$21+1),U20+((G21+I21+H21+J21-$V$6+T21)/((1+$P$2)^A21)),NA())</f>
        <v>177505.37052339333</v>
      </c>
      <c r="V21" s="4">
        <f>IF(A21&lt;('2. Inputs and results'!$C$21+1),V20+('2. Inputs and results'!$C$75*'2. Inputs and results'!$C$73)," ")</f>
        <v>40000</v>
      </c>
      <c r="W21" s="4">
        <f>IF(A21&lt;('2. Inputs and results'!$C$21+1),W20+C21+Y21-$V$6,NA())</f>
        <v>115211.57024222717</v>
      </c>
      <c r="X21" s="4">
        <f>IF(A21&lt;('2. Inputs and results'!$C$21+1),'2. Inputs and results'!$C$79*(W20)," ")</f>
        <v>1862.2314048445435</v>
      </c>
      <c r="Y21" s="4">
        <f t="shared" si="2"/>
        <v>0</v>
      </c>
      <c r="Z21" s="4">
        <f>IF(A21&lt;('2. Inputs and results'!$C$21+1),Z20+((C21-$V$6+Y21)/((1+$P$2)^A21)),NA())</f>
        <v>23061.722057795148</v>
      </c>
      <c r="AA21" s="4">
        <f>IF(A21&lt;('2. Inputs and results'!$C$21+1),AA20+G21+I21+H21+T21-$V$6," ")</f>
        <v>569561.70570392616</v>
      </c>
      <c r="AB21" s="20">
        <f>IF(A21&lt;('2. Inputs and results'!$C$21+1),AA21/L21,NA())</f>
        <v>2.6802903797831821</v>
      </c>
      <c r="AC21" s="29">
        <f>IF(A21&lt;('2. Inputs and results'!$C$21+1),AC20+C21+Y21-$V$6," ")</f>
        <v>327711.57024222717</v>
      </c>
      <c r="AD21" s="20">
        <f>IF(A21&lt;('2. Inputs and results'!$C$21+1),AC21/L21,NA())</f>
        <v>1.5421720952575397</v>
      </c>
      <c r="AE21">
        <f>IF(A21&lt;('2. Inputs and results'!$C$21+1),-'2. Inputs and results'!$C$121*A21," ")</f>
        <v>-736000</v>
      </c>
      <c r="AF21">
        <f>IF(A21&lt;('2. Inputs and results'!$C$21+1),AE21/1000,NA())</f>
        <v>-736</v>
      </c>
    </row>
    <row r="22" spans="1:32" x14ac:dyDescent="0.25">
      <c r="A22">
        <f t="shared" si="0"/>
        <v>17</v>
      </c>
      <c r="B22">
        <f>IF(A22&lt;('2. Inputs and results'!$C$21+1),A22," ")</f>
        <v>17</v>
      </c>
      <c r="C22" s="4">
        <f>IF(A22&lt;('2. Inputs and results'!$C$21+1),'2. Inputs and results'!$C$99+'2. Inputs and results'!$C$101," ")</f>
        <v>24600</v>
      </c>
      <c r="D22" s="4">
        <f>IF(A22&lt;('2. Inputs and results'!$C$21+1),D21+C22,NA())</f>
        <v>418200</v>
      </c>
      <c r="E22" s="4">
        <f>IF(A22&lt;('2. Inputs and results'!$C$21+1),C22/((1+$P$2)^A22)," ")</f>
        <v>12628.981847953548</v>
      </c>
      <c r="F22" s="4">
        <f>IF(B22&lt;('2. Inputs and results'!$C$21+1),F21+E22," ")</f>
        <v>299275.45380116103</v>
      </c>
      <c r="G22" s="4">
        <f>IF(A22&lt;('2. Inputs and results'!$C$21+1),G21*(1+'2. Inputs and results'!$C$46)," ")</f>
        <v>114315.82581085527</v>
      </c>
      <c r="H22" s="4">
        <f>IF(A22&lt;('2. Inputs and results'!$C$21+1),H21*(1+'2. Inputs and results'!$C$58)," ")</f>
        <v>0</v>
      </c>
      <c r="I22" s="4">
        <f>IF(A22&lt;('2. Inputs and results'!$C$21+1),I21*(1+'2. Inputs and results'!$C$34)," ")</f>
        <v>-51823.174367587737</v>
      </c>
      <c r="J22" s="4">
        <f>IF(A22&lt;('2. Inputs and results'!$C$21+1),J21*(1+'2. Inputs and results'!$C$68)," ")</f>
        <v>0</v>
      </c>
      <c r="K22" s="4">
        <f>IF(A22&lt;('2. Inputs and results'!$C$21+1),K21+(G22+I22+H22+J22),NA())</f>
        <v>694036.84216439305</v>
      </c>
      <c r="L22" s="4">
        <f>IF(A22&lt;('2. Inputs and results'!$C$21+1),L21,NA())</f>
        <v>212500</v>
      </c>
      <c r="M22" s="4">
        <f>IF(A22&lt;('2. Inputs and results'!$C$21+1),'2. Inputs and results'!$C$75*'2. Inputs and results'!$C$73," ")</f>
        <v>2500</v>
      </c>
      <c r="N22" s="4">
        <f>IF(A22&lt;('2. Inputs and results'!$C$21+1),M22/((1+$P$2)^A22)," ")</f>
        <v>1283.4331146294255</v>
      </c>
      <c r="O22" s="4">
        <f>IF(A22&lt;('2. Inputs and results'!$C$21+1),'2. Inputs and results'!$C$73*'2. Inputs and results'!$C$75+O21," ")</f>
        <v>252500</v>
      </c>
      <c r="P22" s="4">
        <f>IF(A22&lt;('2. Inputs and results'!$C$21+1),(G22+I22+H22+J22)/((1+$P$2)^A22)," ")</f>
        <v>32082.055313313565</v>
      </c>
      <c r="Q22" s="4">
        <f>IF(A22&lt;('2. Inputs and results'!$C$21+1),Q21+P22," ")</f>
        <v>470348.93160561973</v>
      </c>
      <c r="R22" s="4">
        <f>IF(A22&lt;('2. Inputs and results'!$C$21+1),R21+G22+I22+H22+J22+T22-$V$6,NA())</f>
        <v>417054.35714719363</v>
      </c>
      <c r="S22" s="4">
        <f>IF(A22&lt;('2. Inputs and results'!$C$21+1),'2. Inputs and results'!$C$79*(R21)," ")</f>
        <v>7141.234114078522</v>
      </c>
      <c r="T22" s="4">
        <f t="shared" si="1"/>
        <v>0</v>
      </c>
      <c r="U22" s="4">
        <f>IF(A22&lt;('2. Inputs and results'!$C$21+1),U21+((G22+I22+H22+J22-$V$6+T22)/((1+$P$2)^A22)),NA())</f>
        <v>208303.99272207747</v>
      </c>
      <c r="V22" s="4">
        <f>IF(A22&lt;('2. Inputs and results'!$C$21+1),V21+('2. Inputs and results'!$C$75*'2. Inputs and results'!$C$73)," ")</f>
        <v>42500</v>
      </c>
      <c r="W22" s="4">
        <f>IF(A22&lt;('2. Inputs and results'!$C$21+1),W21+C22+Y22-$V$6,NA())</f>
        <v>137311.57024222717</v>
      </c>
      <c r="X22" s="4">
        <f>IF(A22&lt;('2. Inputs and results'!$C$21+1),'2. Inputs and results'!$C$79*(W21)," ")</f>
        <v>2304.2314048445437</v>
      </c>
      <c r="Y22" s="4">
        <f t="shared" si="2"/>
        <v>0</v>
      </c>
      <c r="Z22" s="4">
        <f>IF(A22&lt;('2. Inputs and results'!$C$21+1),Z21+((C22-$V$6+Y22)/((1+$P$2)^A22)),NA())</f>
        <v>34407.27079111927</v>
      </c>
      <c r="AA22" s="4">
        <f>IF(A22&lt;('2. Inputs and results'!$C$21+1),AA21+G22+I22+H22+T22-$V$6," ")</f>
        <v>629554.35714719363</v>
      </c>
      <c r="AB22" s="20">
        <f>IF(A22&lt;('2. Inputs and results'!$C$21+1),AA22/L22,NA())</f>
        <v>2.9626087395162055</v>
      </c>
      <c r="AC22" s="29">
        <f>IF(A22&lt;('2. Inputs and results'!$C$21+1),AC21+C22+Y22-$V$6," ")</f>
        <v>349811.57024222717</v>
      </c>
      <c r="AD22" s="20">
        <f>IF(A22&lt;('2. Inputs and results'!$C$21+1),AC22/L22,NA())</f>
        <v>1.6461720952575396</v>
      </c>
      <c r="AE22">
        <f>IF(A22&lt;('2. Inputs and results'!$C$21+1),-'2. Inputs and results'!$C$121*A22," ")</f>
        <v>-782000</v>
      </c>
      <c r="AF22">
        <f>IF(A22&lt;('2. Inputs and results'!$C$21+1),AE22/1000,NA())</f>
        <v>-782</v>
      </c>
    </row>
    <row r="23" spans="1:32" x14ac:dyDescent="0.25">
      <c r="A23">
        <f t="shared" si="0"/>
        <v>18</v>
      </c>
      <c r="B23">
        <f>IF(A23&lt;('2. Inputs and results'!$C$21+1),A23," ")</f>
        <v>18</v>
      </c>
      <c r="C23" s="4">
        <f>IF(A23&lt;('2. Inputs and results'!$C$21+1),'2. Inputs and results'!$C$99+'2. Inputs and results'!$C$101," ")</f>
        <v>24600</v>
      </c>
      <c r="D23" s="4">
        <f>IF(A23&lt;('2. Inputs and results'!$C$21+1),D22+C23,NA())</f>
        <v>442800</v>
      </c>
      <c r="E23" s="4">
        <f>IF(A23&lt;('2. Inputs and results'!$C$21+1),C23/((1+$P$2)^A23)," ")</f>
        <v>12143.251776878409</v>
      </c>
      <c r="F23" s="4">
        <f>IF(B23&lt;('2. Inputs and results'!$C$21+1),F22+E23," ")</f>
        <v>311418.70557803946</v>
      </c>
      <c r="G23" s="4">
        <f>IF(A23&lt;('2. Inputs and results'!$C$21+1),G22*(1+'2. Inputs and results'!$C$46)," ")</f>
        <v>121174.77535950659</v>
      </c>
      <c r="H23" s="4">
        <f>IF(A23&lt;('2. Inputs and results'!$C$21+1),H22*(1+'2. Inputs and results'!$C$58)," ")</f>
        <v>0</v>
      </c>
      <c r="I23" s="4">
        <f>IF(A23&lt;('2. Inputs and results'!$C$21+1),I22*(1+'2. Inputs and results'!$C$34)," ")</f>
        <v>-54932.564829643001</v>
      </c>
      <c r="J23" s="4">
        <f>IF(A23&lt;('2. Inputs and results'!$C$21+1),J22*(1+'2. Inputs and results'!$C$68)," ")</f>
        <v>0</v>
      </c>
      <c r="K23" s="4">
        <f>IF(A23&lt;('2. Inputs and results'!$C$21+1),K22+(G23+I23+H23+J23),NA())</f>
        <v>760279.05269425665</v>
      </c>
      <c r="L23" s="4">
        <f>IF(A23&lt;('2. Inputs and results'!$C$21+1),L22,NA())</f>
        <v>212500</v>
      </c>
      <c r="M23" s="4">
        <f>IF(A23&lt;('2. Inputs and results'!$C$21+1),'2. Inputs and results'!$C$75*'2. Inputs and results'!$C$73," ")</f>
        <v>2500</v>
      </c>
      <c r="N23" s="4">
        <f>IF(A23&lt;('2. Inputs and results'!$C$21+1),M23/((1+$P$2)^A23)," ")</f>
        <v>1234.0703025282937</v>
      </c>
      <c r="O23" s="4">
        <f>IF(A23&lt;('2. Inputs and results'!$C$21+1),'2. Inputs and results'!$C$73*'2. Inputs and results'!$C$75+O22," ")</f>
        <v>255000</v>
      </c>
      <c r="P23" s="4">
        <f>IF(A23&lt;('2. Inputs and results'!$C$21+1),(G23+I23+H23+J23)/((1+$P$2)^A23)," ")</f>
        <v>32699.01791549267</v>
      </c>
      <c r="Q23" s="4">
        <f>IF(A23&lt;('2. Inputs and results'!$C$21+1),Q22+P23," ")</f>
        <v>503047.94952111237</v>
      </c>
      <c r="R23" s="4">
        <f>IF(A23&lt;('2. Inputs and results'!$C$21+1),R22+G23+I23+H23+J23+T23-$V$6,NA())</f>
        <v>480796.56767705723</v>
      </c>
      <c r="S23" s="4">
        <f>IF(A23&lt;('2. Inputs and results'!$C$21+1),'2. Inputs and results'!$C$79*(R22)," ")</f>
        <v>8341.0871429438721</v>
      </c>
      <c r="T23" s="4">
        <f t="shared" si="1"/>
        <v>0</v>
      </c>
      <c r="U23" s="4">
        <f>IF(A23&lt;('2. Inputs and results'!$C$21+1),U22+((G23+I23+H23+J23-$V$6+T23)/((1+$P$2)^A23)),NA())</f>
        <v>239768.94033504184</v>
      </c>
      <c r="V23" s="4">
        <f>IF(A23&lt;('2. Inputs and results'!$C$21+1),V22+('2. Inputs and results'!$C$75*'2. Inputs and results'!$C$73)," ")</f>
        <v>45000</v>
      </c>
      <c r="W23" s="4">
        <f>IF(A23&lt;('2. Inputs and results'!$C$21+1),W22+C23+Y23-$V$6,NA())</f>
        <v>159411.57024222717</v>
      </c>
      <c r="X23" s="4">
        <f>IF(A23&lt;('2. Inputs and results'!$C$21+1),'2. Inputs and results'!$C$79*(W22)," ")</f>
        <v>2746.2314048445437</v>
      </c>
      <c r="Y23" s="4">
        <f t="shared" si="2"/>
        <v>0</v>
      </c>
      <c r="Z23" s="4">
        <f>IF(A23&lt;('2. Inputs and results'!$C$21+1),Z22+((C23-$V$6+Y23)/((1+$P$2)^A23)),NA())</f>
        <v>45316.452265469386</v>
      </c>
      <c r="AA23" s="4">
        <f>IF(A23&lt;('2. Inputs and results'!$C$21+1),AA22+G23+I23+H23+T23-$V$6," ")</f>
        <v>693296.56767705723</v>
      </c>
      <c r="AB23" s="20">
        <f>IF(A23&lt;('2. Inputs and results'!$C$21+1),AA23/L23,NA())</f>
        <v>3.2625720831861518</v>
      </c>
      <c r="AC23" s="29">
        <f>IF(A23&lt;('2. Inputs and results'!$C$21+1),AC22+C23+Y23-$V$6," ")</f>
        <v>371911.57024222717</v>
      </c>
      <c r="AD23" s="20">
        <f>IF(A23&lt;('2. Inputs and results'!$C$21+1),AC23/L23,NA())</f>
        <v>1.7501720952575397</v>
      </c>
      <c r="AE23">
        <f>IF(A23&lt;('2. Inputs and results'!$C$21+1),-'2. Inputs and results'!$C$121*A23," ")</f>
        <v>-828000</v>
      </c>
      <c r="AF23">
        <f>IF(A23&lt;('2. Inputs and results'!$C$21+1),AE23/1000,NA())</f>
        <v>-828</v>
      </c>
    </row>
    <row r="24" spans="1:32" x14ac:dyDescent="0.25">
      <c r="A24">
        <f t="shared" si="0"/>
        <v>19</v>
      </c>
      <c r="B24">
        <f>IF(A24&lt;('2. Inputs and results'!$C$21+1),A24," ")</f>
        <v>19</v>
      </c>
      <c r="C24" s="4">
        <f>IF(A24&lt;('2. Inputs and results'!$C$21+1),'2. Inputs and results'!$C$99+'2. Inputs and results'!$C$101," ")</f>
        <v>24600</v>
      </c>
      <c r="D24" s="4">
        <f>IF(A24&lt;('2. Inputs and results'!$C$21+1),D23+C24,NA())</f>
        <v>467400</v>
      </c>
      <c r="E24" s="4">
        <f>IF(A24&lt;('2. Inputs and results'!$C$21+1),C24/((1+$P$2)^A24)," ")</f>
        <v>11676.203631613856</v>
      </c>
      <c r="F24" s="4">
        <f>IF(B24&lt;('2. Inputs and results'!$C$21+1),F23+E24," ")</f>
        <v>323094.90920965333</v>
      </c>
      <c r="G24" s="4">
        <f>IF(A24&lt;('2. Inputs and results'!$C$21+1),G23*(1+'2. Inputs and results'!$C$46)," ")</f>
        <v>128445.26188107699</v>
      </c>
      <c r="H24" s="4">
        <f>IF(A24&lt;('2. Inputs and results'!$C$21+1),H23*(1+'2. Inputs and results'!$C$58)," ")</f>
        <v>0</v>
      </c>
      <c r="I24" s="4">
        <f>IF(A24&lt;('2. Inputs and results'!$C$21+1),I23*(1+'2. Inputs and results'!$C$34)," ")</f>
        <v>-58228.518719421583</v>
      </c>
      <c r="J24" s="4">
        <f>IF(A24&lt;('2. Inputs and results'!$C$21+1),J23*(1+'2. Inputs and results'!$C$68)," ")</f>
        <v>0</v>
      </c>
      <c r="K24" s="4">
        <f>IF(A24&lt;('2. Inputs and results'!$C$21+1),K23+(G24+I24+H24+J24),NA())</f>
        <v>830495.79585591203</v>
      </c>
      <c r="L24" s="4">
        <f>IF(A24&lt;('2. Inputs and results'!$C$21+1),L23,NA())</f>
        <v>212500</v>
      </c>
      <c r="M24" s="4">
        <f>IF(A24&lt;('2. Inputs and results'!$C$21+1),'2. Inputs and results'!$C$75*'2. Inputs and results'!$C$73," ")</f>
        <v>2500</v>
      </c>
      <c r="N24" s="4">
        <f>IF(A24&lt;('2. Inputs and results'!$C$21+1),M24/((1+$P$2)^A24)," ")</f>
        <v>1186.6060601233594</v>
      </c>
      <c r="O24" s="4">
        <f>IF(A24&lt;('2. Inputs and results'!$C$21+1),'2. Inputs and results'!$C$73*'2. Inputs and results'!$C$75+O23," ")</f>
        <v>257500</v>
      </c>
      <c r="P24" s="4">
        <f>IF(A24&lt;('2. Inputs and results'!$C$21+1),(G24+I24+H24+J24)/((1+$P$2)^A24)," ")</f>
        <v>33327.845183098303</v>
      </c>
      <c r="Q24" s="4">
        <f>IF(A24&lt;('2. Inputs and results'!$C$21+1),Q23+P24," ")</f>
        <v>536375.79470421071</v>
      </c>
      <c r="R24" s="4">
        <f>IF(A24&lt;('2. Inputs and results'!$C$21+1),R23+G24+I24+H24+J24+T24-$V$6,NA())</f>
        <v>548513.31083871261</v>
      </c>
      <c r="S24" s="4">
        <f>IF(A24&lt;('2. Inputs and results'!$C$21+1),'2. Inputs and results'!$C$79*(R23)," ")</f>
        <v>9615.9313535411457</v>
      </c>
      <c r="T24" s="4">
        <f t="shared" si="1"/>
        <v>0</v>
      </c>
      <c r="U24" s="4">
        <f>IF(A24&lt;('2. Inputs and results'!$C$21+1),U23+((G24+I24+H24+J24-$V$6+T24)/((1+$P$2)^A24)),NA())</f>
        <v>271910.17945801676</v>
      </c>
      <c r="V24" s="4">
        <f>IF(A24&lt;('2. Inputs and results'!$C$21+1),V23+('2. Inputs and results'!$C$75*'2. Inputs and results'!$C$73)," ")</f>
        <v>47500</v>
      </c>
      <c r="W24" s="4">
        <f>IF(A24&lt;('2. Inputs and results'!$C$21+1),W23+C24+Y24-$V$6,NA())</f>
        <v>181511.57024222717</v>
      </c>
      <c r="X24" s="4">
        <f>IF(A24&lt;('2. Inputs and results'!$C$21+1),'2. Inputs and results'!$C$79*(W23)," ")</f>
        <v>3188.2314048445437</v>
      </c>
      <c r="Y24" s="4">
        <f t="shared" si="2"/>
        <v>0</v>
      </c>
      <c r="Z24" s="4">
        <f>IF(A24&lt;('2. Inputs and results'!$C$21+1),Z23+((C24-$V$6+Y24)/((1+$P$2)^A24)),NA())</f>
        <v>55806.049836959879</v>
      </c>
      <c r="AA24" s="4">
        <f>IF(A24&lt;('2. Inputs and results'!$C$21+1),AA23+G24+I24+H24+T24-$V$6," ")</f>
        <v>761013.31083871261</v>
      </c>
      <c r="AB24" s="20">
        <f>IF(A24&lt;('2. Inputs and results'!$C$21+1),AA24/L24,NA())</f>
        <v>3.581239109829236</v>
      </c>
      <c r="AC24" s="29">
        <f>IF(A24&lt;('2. Inputs and results'!$C$21+1),AC23+C24+Y24-$V$6," ")</f>
        <v>394011.57024222717</v>
      </c>
      <c r="AD24" s="20">
        <f>IF(A24&lt;('2. Inputs and results'!$C$21+1),AC24/L24,NA())</f>
        <v>1.8541720952575396</v>
      </c>
      <c r="AE24">
        <f>IF(A24&lt;('2. Inputs and results'!$C$21+1),-'2. Inputs and results'!$C$121*A24," ")</f>
        <v>-874000</v>
      </c>
      <c r="AF24">
        <f>IF(A24&lt;('2. Inputs and results'!$C$21+1),AE24/1000,NA())</f>
        <v>-874</v>
      </c>
    </row>
    <row r="25" spans="1:32" x14ac:dyDescent="0.25">
      <c r="A25">
        <f t="shared" si="0"/>
        <v>20</v>
      </c>
      <c r="B25">
        <f>IF(A25&lt;('2. Inputs and results'!$C$21+1),A25," ")</f>
        <v>20</v>
      </c>
      <c r="C25" s="4">
        <f>IF(A25&lt;('2. Inputs and results'!$C$21+1),'2. Inputs and results'!$C$99+'2. Inputs and results'!$C$101," ")</f>
        <v>24600</v>
      </c>
      <c r="D25" s="4">
        <f>IF(A25&lt;('2. Inputs and results'!$C$21+1),D24+C25,NA())</f>
        <v>492000</v>
      </c>
      <c r="E25" s="4">
        <f>IF(A25&lt;('2. Inputs and results'!$C$21+1),C25/((1+$P$2)^A25)," ")</f>
        <v>11227.118876551785</v>
      </c>
      <c r="F25" s="4">
        <f>IF(B25&lt;('2. Inputs and results'!$C$21+1),F24+E25," ")</f>
        <v>334322.02808620513</v>
      </c>
      <c r="G25" s="4">
        <f>IF(A25&lt;('2. Inputs and results'!$C$21+1),G24*(1+'2. Inputs and results'!$C$46)," ")</f>
        <v>136151.97759394161</v>
      </c>
      <c r="H25" s="4">
        <f>IF(A25&lt;('2. Inputs and results'!$C$21+1),H24*(1+'2. Inputs and results'!$C$58)," ")</f>
        <v>0</v>
      </c>
      <c r="I25" s="4">
        <f>IF(A25&lt;('2. Inputs and results'!$C$21+1),I24*(1+'2. Inputs and results'!$C$34)," ")</f>
        <v>-61722.229842586879</v>
      </c>
      <c r="J25" s="4">
        <f>IF(A25&lt;('2. Inputs and results'!$C$21+1),J24*(1+'2. Inputs and results'!$C$68)," ")</f>
        <v>0</v>
      </c>
      <c r="K25" s="4">
        <f>IF(A25&lt;('2. Inputs and results'!$C$21+1),K24+(G25+I25+H25+J25),NA())</f>
        <v>904925.54360726674</v>
      </c>
      <c r="L25" s="4">
        <f>IF(A25&lt;('2. Inputs and results'!$C$21+1),L24,NA())</f>
        <v>212500</v>
      </c>
      <c r="M25" s="4">
        <f>IF(A25&lt;('2. Inputs and results'!$C$21+1),'2. Inputs and results'!$C$75*'2. Inputs and results'!$C$73," ")</f>
        <v>2500</v>
      </c>
      <c r="N25" s="4">
        <f>IF(A25&lt;('2. Inputs and results'!$C$21+1),M25/((1+$P$2)^A25)," ")</f>
        <v>1140.9673655032302</v>
      </c>
      <c r="O25" s="4">
        <f>IF(A25&lt;('2. Inputs and results'!$C$21+1),'2. Inputs and results'!$C$73*'2. Inputs and results'!$C$75+O24," ")</f>
        <v>260000</v>
      </c>
      <c r="P25" s="4">
        <f>IF(A25&lt;('2. Inputs and results'!$C$21+1),(G25+I25+H25+J25)/((1+$P$2)^A25)," ")</f>
        <v>33968.765282773275</v>
      </c>
      <c r="Q25" s="4">
        <f>IF(A25&lt;('2. Inputs and results'!$C$21+1),Q24+P25," ")</f>
        <v>570344.55998698401</v>
      </c>
      <c r="R25" s="4">
        <f>IF(A25&lt;('2. Inputs and results'!$C$21+1),R24+G25+I25+H25+J25+T25-$V$6,NA())</f>
        <v>620443.05859006732</v>
      </c>
      <c r="S25" s="4">
        <f>IF(A25&lt;('2. Inputs and results'!$C$21+1),'2. Inputs and results'!$C$79*(R24)," ")</f>
        <v>10970.266216774253</v>
      </c>
      <c r="T25" s="4">
        <f t="shared" si="1"/>
        <v>0</v>
      </c>
      <c r="U25" s="4">
        <f>IF(A25&lt;('2. Inputs and results'!$C$21+1),U24+((G25+I25+H25+J25-$V$6+T25)/((1+$P$2)^A25)),NA())</f>
        <v>304737.97737528681</v>
      </c>
      <c r="V25" s="4">
        <f>IF(A25&lt;('2. Inputs and results'!$C$21+1),V24+('2. Inputs and results'!$C$75*'2. Inputs and results'!$C$73)," ")</f>
        <v>50000</v>
      </c>
      <c r="W25" s="4">
        <f>IF(A25&lt;('2. Inputs and results'!$C$21+1),W24+C25+Y25-$V$6,NA())</f>
        <v>203611.57024222717</v>
      </c>
      <c r="X25" s="4">
        <f>IF(A25&lt;('2. Inputs and results'!$C$21+1),'2. Inputs and results'!$C$79*(W24)," ")</f>
        <v>3630.2314048445437</v>
      </c>
      <c r="Y25" s="4">
        <f t="shared" si="2"/>
        <v>0</v>
      </c>
      <c r="Z25" s="4">
        <f>IF(A25&lt;('2. Inputs and results'!$C$21+1),Z24+((C25-$V$6+Y25)/((1+$P$2)^A25)),NA())</f>
        <v>65892.201348008428</v>
      </c>
      <c r="AA25" s="4">
        <f>IF(A25&lt;('2. Inputs and results'!$C$21+1),AA24+G25+I25+H25+T25-$V$6," ")</f>
        <v>832943.05859006732</v>
      </c>
      <c r="AB25" s="20">
        <f>IF(A25&lt;('2. Inputs and results'!$C$21+1),AA25/L25,NA())</f>
        <v>3.9197320404238463</v>
      </c>
      <c r="AC25" s="29">
        <f>IF(A25&lt;('2. Inputs and results'!$C$21+1),AC24+C25+Y25-$V$6," ")</f>
        <v>416111.57024222717</v>
      </c>
      <c r="AD25" s="20">
        <f>IF(A25&lt;('2. Inputs and results'!$C$21+1),AC25/L25,NA())</f>
        <v>1.9581720952575397</v>
      </c>
      <c r="AE25">
        <f>IF(A25&lt;('2. Inputs and results'!$C$21+1),-'2. Inputs and results'!$C$121*A25," ")</f>
        <v>-920000</v>
      </c>
      <c r="AF25">
        <f>IF(A25&lt;('2. Inputs and results'!$C$21+1),AE25/1000,NA())</f>
        <v>-920</v>
      </c>
    </row>
    <row r="26" spans="1:32" x14ac:dyDescent="0.25">
      <c r="A26">
        <f t="shared" si="0"/>
        <v>21</v>
      </c>
      <c r="B26" t="str">
        <f>IF(A26&lt;('2. Inputs and results'!$C$21+1),A26," ")</f>
        <v xml:space="preserve"> </v>
      </c>
      <c r="C26" s="4" t="str">
        <f>IF(A26&lt;('2. Inputs and results'!$C$21+1),'2. Inputs and results'!$C$99+'2. Inputs and results'!$C$101," ")</f>
        <v xml:space="preserve"> </v>
      </c>
      <c r="D26" s="4" t="e">
        <f>IF(A26&lt;('2. Inputs and results'!$C$21+1),D25+C26,NA())</f>
        <v>#N/A</v>
      </c>
      <c r="E26" s="4" t="str">
        <f>IF(A26&lt;('2. Inputs and results'!$C$21+1),C26/((1+$P$2)^A26)," ")</f>
        <v xml:space="preserve"> </v>
      </c>
      <c r="F26" s="4" t="str">
        <f>IF(B26&lt;('2. Inputs and results'!$C$21+1),F25+E26," ")</f>
        <v xml:space="preserve"> </v>
      </c>
      <c r="G26" s="4" t="str">
        <f>IF(A26&lt;('2. Inputs and results'!$C$21+1),G25*(1+'2. Inputs and results'!$C$46)," ")</f>
        <v xml:space="preserve"> </v>
      </c>
      <c r="H26" s="4" t="str">
        <f>IF(A26&lt;('2. Inputs and results'!$C$21+1),H25*(1+'2. Inputs and results'!$C$58)," ")</f>
        <v xml:space="preserve"> </v>
      </c>
      <c r="I26" s="4" t="str">
        <f>IF(A26&lt;('2. Inputs and results'!$C$21+1),I25*(1+'2. Inputs and results'!$C$34)," ")</f>
        <v xml:space="preserve"> </v>
      </c>
      <c r="J26" s="4" t="str">
        <f>IF(A26&lt;('2. Inputs and results'!$C$21+1),J25*(1+'2. Inputs and results'!$C$68)," ")</f>
        <v xml:space="preserve"> </v>
      </c>
      <c r="K26" s="4" t="e">
        <f>IF(A26&lt;('2. Inputs and results'!$C$21+1),K25+(G26+I26+H26+J26),NA())</f>
        <v>#N/A</v>
      </c>
      <c r="L26" s="4" t="e">
        <f>IF(A26&lt;('2. Inputs and results'!$C$21+1),L25,NA())</f>
        <v>#N/A</v>
      </c>
      <c r="M26" s="4" t="str">
        <f>IF(A26&lt;('2. Inputs and results'!$C$21+1),'2. Inputs and results'!$C$75*'2. Inputs and results'!$C$73," ")</f>
        <v xml:space="preserve"> </v>
      </c>
      <c r="N26" s="4" t="str">
        <f>IF(A26&lt;('2. Inputs and results'!$C$21+1),M26/((1+$P$2)^A26)," ")</f>
        <v xml:space="preserve"> </v>
      </c>
      <c r="O26" s="4" t="str">
        <f>IF(A26&lt;('2. Inputs and results'!$C$21+1),'2. Inputs and results'!$C$73*'2. Inputs and results'!$C$75+O25," ")</f>
        <v xml:space="preserve"> </v>
      </c>
      <c r="P26" s="4" t="str">
        <f>IF(A26&lt;('2. Inputs and results'!$C$21+1),(G26+I26+H26+J26)/((1+$P$2)^A26)," ")</f>
        <v xml:space="preserve"> </v>
      </c>
      <c r="Q26" s="4" t="str">
        <f>IF(A26&lt;('2. Inputs and results'!$C$21+1),Q25+P26," ")</f>
        <v xml:space="preserve"> </v>
      </c>
      <c r="R26" s="4" t="e">
        <f>IF(A26&lt;('2. Inputs and results'!$C$21+1),R25+G26+I26+H26+J26+T26-$V$6,NA())</f>
        <v>#N/A</v>
      </c>
      <c r="S26" s="4" t="str">
        <f>IF(A26&lt;('2. Inputs and results'!$C$21+1),'2. Inputs and results'!$C$79*(R25)," ")</f>
        <v xml:space="preserve"> </v>
      </c>
      <c r="T26" s="4">
        <f t="shared" si="1"/>
        <v>0</v>
      </c>
      <c r="U26" s="4" t="e">
        <f>IF(A26&lt;('2. Inputs and results'!$C$21+1),U25+((G26+I26+H26+J26-$V$6+T26)/((1+$P$2)^A26)),NA())</f>
        <v>#N/A</v>
      </c>
      <c r="V26" s="4" t="str">
        <f>IF(A26&lt;('2. Inputs and results'!$C$21+1),V25+('2. Inputs and results'!$C$75*'2. Inputs and results'!$C$73)," ")</f>
        <v xml:space="preserve"> </v>
      </c>
      <c r="W26" s="4" t="e">
        <f>IF(A26&lt;('2. Inputs and results'!$C$21+1),W25+C26+Y26-$V$6,NA())</f>
        <v>#N/A</v>
      </c>
      <c r="X26" s="4" t="str">
        <f>IF(A26&lt;('2. Inputs and results'!$C$21+1),'2. Inputs and results'!$C$79*(W25)," ")</f>
        <v xml:space="preserve"> </v>
      </c>
      <c r="Y26" s="4">
        <f t="shared" si="2"/>
        <v>0</v>
      </c>
      <c r="Z26" s="4" t="e">
        <f>IF(A26&lt;('2. Inputs and results'!$C$21+1),Z25+((C26-$V$6+Y26)/((1+$P$2)^A26)),NA())</f>
        <v>#N/A</v>
      </c>
      <c r="AA26" s="4" t="str">
        <f>IF(A26&lt;('2. Inputs and results'!$C$21+1),AA25+G26+I26+H26+T26-$V$6," ")</f>
        <v xml:space="preserve"> </v>
      </c>
      <c r="AB26" s="20" t="e">
        <f>IF(A26&lt;('2. Inputs and results'!$C$21+1),AA26/L26,NA())</f>
        <v>#N/A</v>
      </c>
      <c r="AC26" s="29" t="str">
        <f>IF(A26&lt;('2. Inputs and results'!$C$21+1),AC25+C26+Y26-$V$6," ")</f>
        <v xml:space="preserve"> </v>
      </c>
      <c r="AD26" s="20" t="e">
        <f>IF(A26&lt;('2. Inputs and results'!$C$21+1),AC26/L26,NA())</f>
        <v>#N/A</v>
      </c>
      <c r="AE26" t="str">
        <f>IF(A26&lt;('2. Inputs and results'!$C$21+1),-'2. Inputs and results'!$C$121*A26," ")</f>
        <v xml:space="preserve"> </v>
      </c>
      <c r="AF26" t="e">
        <f>IF(A26&lt;('2. Inputs and results'!$C$21+1),AE26/1000,NA())</f>
        <v>#N/A</v>
      </c>
    </row>
    <row r="27" spans="1:32" x14ac:dyDescent="0.25">
      <c r="A27">
        <f t="shared" si="0"/>
        <v>22</v>
      </c>
      <c r="B27" t="str">
        <f>IF(A27&lt;('2. Inputs and results'!$C$21+1),A27," ")</f>
        <v xml:space="preserve"> </v>
      </c>
      <c r="C27" s="4" t="str">
        <f>IF(A27&lt;('2. Inputs and results'!$C$21+1),'2. Inputs and results'!$C$99+'2. Inputs and results'!$C$101," ")</f>
        <v xml:space="preserve"> </v>
      </c>
      <c r="D27" s="4" t="e">
        <f>IF(A27&lt;('2. Inputs and results'!$C$21+1),D26+C27,NA())</f>
        <v>#N/A</v>
      </c>
      <c r="E27" s="4" t="str">
        <f>IF(A27&lt;('2. Inputs and results'!$C$21+1),C27/((1+$P$2)^A27)," ")</f>
        <v xml:space="preserve"> </v>
      </c>
      <c r="F27" s="4" t="str">
        <f>IF(B27&lt;('2. Inputs and results'!$C$21+1),F26+E27," ")</f>
        <v xml:space="preserve"> </v>
      </c>
      <c r="G27" s="4" t="str">
        <f>IF(A27&lt;('2. Inputs and results'!$C$21+1),G26*(1+'2. Inputs and results'!$C$46)," ")</f>
        <v xml:space="preserve"> </v>
      </c>
      <c r="H27" s="4" t="str">
        <f>IF(A27&lt;('2. Inputs and results'!$C$21+1),H26*(1+'2. Inputs and results'!$C$58)," ")</f>
        <v xml:space="preserve"> </v>
      </c>
      <c r="I27" s="4" t="str">
        <f>IF(A27&lt;('2. Inputs and results'!$C$21+1),I26*(1+'2. Inputs and results'!$C$34)," ")</f>
        <v xml:space="preserve"> </v>
      </c>
      <c r="J27" s="4" t="str">
        <f>IF(A27&lt;('2. Inputs and results'!$C$21+1),J26*(1+'2. Inputs and results'!$C$68)," ")</f>
        <v xml:space="preserve"> </v>
      </c>
      <c r="K27" s="4" t="e">
        <f>IF(A27&lt;('2. Inputs and results'!$C$21+1),K26+(G27+I27+H27+J27),NA())</f>
        <v>#N/A</v>
      </c>
      <c r="L27" s="4" t="e">
        <f>IF(A27&lt;('2. Inputs and results'!$C$21+1),L26,NA())</f>
        <v>#N/A</v>
      </c>
      <c r="M27" s="4" t="str">
        <f>IF(A27&lt;('2. Inputs and results'!$C$21+1),'2. Inputs and results'!$C$75*'2. Inputs and results'!$C$73," ")</f>
        <v xml:space="preserve"> </v>
      </c>
      <c r="N27" s="4" t="str">
        <f>IF(A27&lt;('2. Inputs and results'!$C$21+1),M27/((1+$P$2)^A27)," ")</f>
        <v xml:space="preserve"> </v>
      </c>
      <c r="O27" s="4" t="str">
        <f>IF(A27&lt;('2. Inputs and results'!$C$21+1),'2. Inputs and results'!$C$73*'2. Inputs and results'!$C$75+O26," ")</f>
        <v xml:space="preserve"> </v>
      </c>
      <c r="P27" s="4" t="str">
        <f>IF(A27&lt;('2. Inputs and results'!$C$21+1),(G27+I27+H27+J27)/((1+$P$2)^A27)," ")</f>
        <v xml:space="preserve"> </v>
      </c>
      <c r="Q27" s="4" t="str">
        <f>IF(A27&lt;('2. Inputs and results'!$C$21+1),Q26+P27," ")</f>
        <v xml:space="preserve"> </v>
      </c>
      <c r="R27" s="4" t="e">
        <f>IF(A27&lt;('2. Inputs and results'!$C$21+1),R26+G27+I27+H27+J27+T27-$V$6,NA())</f>
        <v>#N/A</v>
      </c>
      <c r="S27" s="4" t="str">
        <f>IF(A27&lt;('2. Inputs and results'!$C$21+1),'2. Inputs and results'!$C$79*(R26)," ")</f>
        <v xml:space="preserve"> </v>
      </c>
      <c r="T27" s="4">
        <f t="shared" si="1"/>
        <v>0</v>
      </c>
      <c r="U27" s="4" t="e">
        <f>IF(A27&lt;('2. Inputs and results'!$C$21+1),U26+((G27+I27+H27+J27-$V$6+T27)/((1+$P$2)^A27)),NA())</f>
        <v>#N/A</v>
      </c>
      <c r="V27" s="4" t="str">
        <f>IF(A27&lt;('2. Inputs and results'!$C$21+1),V26+('2. Inputs and results'!$C$75*'2. Inputs and results'!$C$73)," ")</f>
        <v xml:space="preserve"> </v>
      </c>
      <c r="W27" s="4" t="e">
        <f>IF(A27&lt;('2. Inputs and results'!$C$21+1),W26+C27+Y27-$V$6,NA())</f>
        <v>#N/A</v>
      </c>
      <c r="X27" s="4" t="str">
        <f>IF(A27&lt;('2. Inputs and results'!$C$21+1),'2. Inputs and results'!$C$79*(W26)," ")</f>
        <v xml:space="preserve"> </v>
      </c>
      <c r="Y27" s="4">
        <f t="shared" si="2"/>
        <v>0</v>
      </c>
      <c r="Z27" s="4" t="e">
        <f>IF(A27&lt;('2. Inputs and results'!$C$21+1),Z26+((C27-$V$6+Y27)/((1+$P$2)^A27)),NA())</f>
        <v>#N/A</v>
      </c>
      <c r="AA27" s="4" t="str">
        <f>IF(A27&lt;('2. Inputs and results'!$C$21+1),AA26+G27+I27+H27+T27-$V$6," ")</f>
        <v xml:space="preserve"> </v>
      </c>
      <c r="AB27" s="20" t="e">
        <f>IF(A27&lt;('2. Inputs and results'!$C$21+1),AA27/L27,NA())</f>
        <v>#N/A</v>
      </c>
      <c r="AC27" s="29" t="str">
        <f>IF(A27&lt;('2. Inputs and results'!$C$21+1),AC26+C27+Y27-$V$6," ")</f>
        <v xml:space="preserve"> </v>
      </c>
      <c r="AD27" s="20" t="e">
        <f>IF(A27&lt;('2. Inputs and results'!$C$21+1),AC27/L27,NA())</f>
        <v>#N/A</v>
      </c>
      <c r="AE27" t="str">
        <f>IF(A27&lt;('2. Inputs and results'!$C$21+1),-'2. Inputs and results'!$C$121*A27," ")</f>
        <v xml:space="preserve"> </v>
      </c>
      <c r="AF27" t="e">
        <f>IF(A27&lt;('2. Inputs and results'!$C$21+1),AE27/1000,NA())</f>
        <v>#N/A</v>
      </c>
    </row>
    <row r="28" spans="1:32" x14ac:dyDescent="0.25">
      <c r="A28">
        <f t="shared" si="0"/>
        <v>23</v>
      </c>
      <c r="B28" t="str">
        <f>IF(A28&lt;('2. Inputs and results'!$C$21+1),A28," ")</f>
        <v xml:space="preserve"> </v>
      </c>
      <c r="C28" s="4" t="str">
        <f>IF(A28&lt;('2. Inputs and results'!$C$21+1),'2. Inputs and results'!$C$99+'2. Inputs and results'!$C$101," ")</f>
        <v xml:space="preserve"> </v>
      </c>
      <c r="D28" s="4" t="e">
        <f>IF(A28&lt;('2. Inputs and results'!$C$21+1),D27+C28,NA())</f>
        <v>#N/A</v>
      </c>
      <c r="E28" s="4" t="str">
        <f>IF(A28&lt;('2. Inputs and results'!$C$21+1),C28/((1+$P$2)^A28)," ")</f>
        <v xml:space="preserve"> </v>
      </c>
      <c r="F28" s="4" t="str">
        <f>IF(B28&lt;('2. Inputs and results'!$C$21+1),F27+E28," ")</f>
        <v xml:space="preserve"> </v>
      </c>
      <c r="G28" s="4" t="str">
        <f>IF(A28&lt;('2. Inputs and results'!$C$21+1),G27*(1+'2. Inputs and results'!$C$46)," ")</f>
        <v xml:space="preserve"> </v>
      </c>
      <c r="H28" s="4" t="str">
        <f>IF(A28&lt;('2. Inputs and results'!$C$21+1),H27*(1+'2. Inputs and results'!$C$58)," ")</f>
        <v xml:space="preserve"> </v>
      </c>
      <c r="I28" s="4" t="str">
        <f>IF(A28&lt;('2. Inputs and results'!$C$21+1),I27*(1+'2. Inputs and results'!$C$34)," ")</f>
        <v xml:space="preserve"> </v>
      </c>
      <c r="J28" s="4" t="str">
        <f>IF(A28&lt;('2. Inputs and results'!$C$21+1),J27*(1+'2. Inputs and results'!$C$68)," ")</f>
        <v xml:space="preserve"> </v>
      </c>
      <c r="K28" s="4" t="e">
        <f>IF(A28&lt;('2. Inputs and results'!$C$21+1),K27+(G28+I28+H28+J28),NA())</f>
        <v>#N/A</v>
      </c>
      <c r="L28" s="4" t="e">
        <f>IF(A28&lt;('2. Inputs and results'!$C$21+1),L27,NA())</f>
        <v>#N/A</v>
      </c>
      <c r="M28" s="4" t="str">
        <f>IF(A28&lt;('2. Inputs and results'!$C$21+1),'2. Inputs and results'!$C$75*'2. Inputs and results'!$C$73," ")</f>
        <v xml:space="preserve"> </v>
      </c>
      <c r="N28" s="4" t="str">
        <f>IF(A28&lt;('2. Inputs and results'!$C$21+1),M28/((1+$P$2)^A28)," ")</f>
        <v xml:space="preserve"> </v>
      </c>
      <c r="O28" s="4" t="str">
        <f>IF(A28&lt;('2. Inputs and results'!$C$21+1),'2. Inputs and results'!$C$73*'2. Inputs and results'!$C$75+O27," ")</f>
        <v xml:space="preserve"> </v>
      </c>
      <c r="P28" s="4" t="str">
        <f>IF(A28&lt;('2. Inputs and results'!$C$21+1),(G28+I28+H28+J28)/((1+$P$2)^A28)," ")</f>
        <v xml:space="preserve"> </v>
      </c>
      <c r="Q28" s="4" t="str">
        <f>IF(A28&lt;('2. Inputs and results'!$C$21+1),Q27+P28," ")</f>
        <v xml:space="preserve"> </v>
      </c>
      <c r="R28" s="4" t="e">
        <f>IF(A28&lt;('2. Inputs and results'!$C$21+1),R27+G28+I28+H28+J28+T28-$V$6,NA())</f>
        <v>#N/A</v>
      </c>
      <c r="S28" s="4" t="str">
        <f>IF(A28&lt;('2. Inputs and results'!$C$21+1),'2. Inputs and results'!$C$79*(R27)," ")</f>
        <v xml:space="preserve"> </v>
      </c>
      <c r="T28" s="4">
        <f t="shared" si="1"/>
        <v>0</v>
      </c>
      <c r="U28" s="4" t="e">
        <f>IF(A28&lt;('2. Inputs and results'!$C$21+1),U27+((G28+I28+H28+J28-$V$6+T28)/((1+$P$2)^A28)),NA())</f>
        <v>#N/A</v>
      </c>
      <c r="V28" s="4" t="str">
        <f>IF(A28&lt;('2. Inputs and results'!$C$21+1),V27+('2. Inputs and results'!$C$75*'2. Inputs and results'!$C$73)," ")</f>
        <v xml:space="preserve"> </v>
      </c>
      <c r="W28" s="4" t="e">
        <f>IF(A28&lt;('2. Inputs and results'!$C$21+1),W27+C28+Y28-$V$6,NA())</f>
        <v>#N/A</v>
      </c>
      <c r="X28" s="4" t="str">
        <f>IF(A28&lt;('2. Inputs and results'!$C$21+1),'2. Inputs and results'!$C$79*(W27)," ")</f>
        <v xml:space="preserve"> </v>
      </c>
      <c r="Y28" s="4">
        <f t="shared" si="2"/>
        <v>0</v>
      </c>
      <c r="Z28" s="4" t="e">
        <f>IF(A28&lt;('2. Inputs and results'!$C$21+1),Z27+((C28-$V$6+Y28)/((1+$P$2)^A28)),NA())</f>
        <v>#N/A</v>
      </c>
      <c r="AA28" s="4" t="str">
        <f>IF(A28&lt;('2. Inputs and results'!$C$21+1),AA27+G28+I28+H28+T28-$V$6," ")</f>
        <v xml:space="preserve"> </v>
      </c>
      <c r="AB28" s="20" t="e">
        <f>IF(A28&lt;('2. Inputs and results'!$C$21+1),AA28/L28,NA())</f>
        <v>#N/A</v>
      </c>
      <c r="AC28" s="29" t="str">
        <f>IF(A28&lt;('2. Inputs and results'!$C$21+1),AC27+C28+Y28-$V$6," ")</f>
        <v xml:space="preserve"> </v>
      </c>
      <c r="AD28" s="20" t="e">
        <f>IF(A28&lt;('2. Inputs and results'!$C$21+1),AC28/L28,NA())</f>
        <v>#N/A</v>
      </c>
      <c r="AE28" t="str">
        <f>IF(A28&lt;('2. Inputs and results'!$C$21+1),-'2. Inputs and results'!$C$121*A28," ")</f>
        <v xml:space="preserve"> </v>
      </c>
      <c r="AF28" t="e">
        <f>IF(A28&lt;('2. Inputs and results'!$C$21+1),AE28/1000,NA())</f>
        <v>#N/A</v>
      </c>
    </row>
    <row r="29" spans="1:32" x14ac:dyDescent="0.25">
      <c r="A29">
        <f t="shared" si="0"/>
        <v>24</v>
      </c>
      <c r="B29" t="str">
        <f>IF(A29&lt;('2. Inputs and results'!$C$21+1),A29," ")</f>
        <v xml:space="preserve"> </v>
      </c>
      <c r="C29" s="4" t="str">
        <f>IF(A29&lt;('2. Inputs and results'!$C$21+1),'2. Inputs and results'!$C$99+'2. Inputs and results'!$C$101," ")</f>
        <v xml:space="preserve"> </v>
      </c>
      <c r="D29" s="4" t="e">
        <f>IF(A29&lt;('2. Inputs and results'!$C$21+1),D28+C29,NA())</f>
        <v>#N/A</v>
      </c>
      <c r="E29" s="4" t="str">
        <f>IF(A29&lt;('2. Inputs and results'!$C$21+1),C29/((1+$P$2)^A29)," ")</f>
        <v xml:space="preserve"> </v>
      </c>
      <c r="F29" s="4" t="str">
        <f>IF(B29&lt;('2. Inputs and results'!$C$21+1),F28+E29," ")</f>
        <v xml:space="preserve"> </v>
      </c>
      <c r="G29" s="4" t="str">
        <f>IF(A29&lt;('2. Inputs and results'!$C$21+1),G28*(1+'2. Inputs and results'!$C$46)," ")</f>
        <v xml:space="preserve"> </v>
      </c>
      <c r="H29" s="4" t="str">
        <f>IF(A29&lt;('2. Inputs and results'!$C$21+1),H28*(1+'2. Inputs and results'!$C$58)," ")</f>
        <v xml:space="preserve"> </v>
      </c>
      <c r="I29" s="4" t="str">
        <f>IF(A29&lt;('2. Inputs and results'!$C$21+1),I28*(1+'2. Inputs and results'!$C$34)," ")</f>
        <v xml:space="preserve"> </v>
      </c>
      <c r="J29" s="4" t="str">
        <f>IF(A29&lt;('2. Inputs and results'!$C$21+1),J28*(1+'2. Inputs and results'!$C$68)," ")</f>
        <v xml:space="preserve"> </v>
      </c>
      <c r="K29" s="4" t="e">
        <f>IF(A29&lt;('2. Inputs and results'!$C$21+1),K28+(G29+I29+H29+J29),NA())</f>
        <v>#N/A</v>
      </c>
      <c r="L29" s="4" t="e">
        <f>IF(A29&lt;('2. Inputs and results'!$C$21+1),L28,NA())</f>
        <v>#N/A</v>
      </c>
      <c r="M29" s="4" t="str">
        <f>IF(A29&lt;('2. Inputs and results'!$C$21+1),'2. Inputs and results'!$C$75*'2. Inputs and results'!$C$73," ")</f>
        <v xml:space="preserve"> </v>
      </c>
      <c r="N29" s="4" t="str">
        <f>IF(A29&lt;('2. Inputs and results'!$C$21+1),M29/((1+$P$2)^A29)," ")</f>
        <v xml:space="preserve"> </v>
      </c>
      <c r="O29" s="4" t="str">
        <f>IF(A29&lt;('2. Inputs and results'!$C$21+1),'2. Inputs and results'!$C$73*'2. Inputs and results'!$C$75+O28," ")</f>
        <v xml:space="preserve"> </v>
      </c>
      <c r="P29" s="4" t="str">
        <f>IF(A29&lt;('2. Inputs and results'!$C$21+1),(G29+I29+H29+J29)/((1+$P$2)^A29)," ")</f>
        <v xml:space="preserve"> </v>
      </c>
      <c r="Q29" s="4" t="str">
        <f>IF(A29&lt;('2. Inputs and results'!$C$21+1),Q28+P29," ")</f>
        <v xml:space="preserve"> </v>
      </c>
      <c r="R29" s="4" t="e">
        <f>IF(A29&lt;('2. Inputs and results'!$C$21+1),R28+G29+I29+H29+J29+T29-$V$6,NA())</f>
        <v>#N/A</v>
      </c>
      <c r="S29" s="4" t="str">
        <f>IF(A29&lt;('2. Inputs and results'!$C$21+1),'2. Inputs and results'!$C$79*(R28)," ")</f>
        <v xml:space="preserve"> </v>
      </c>
      <c r="T29" s="4">
        <f t="shared" si="1"/>
        <v>0</v>
      </c>
      <c r="U29" s="4" t="e">
        <f>IF(A29&lt;('2. Inputs and results'!$C$21+1),U28+((G29+I29+H29+J29-$V$6+T29)/((1+$P$2)^A29)),NA())</f>
        <v>#N/A</v>
      </c>
      <c r="V29" s="4" t="str">
        <f>IF(A29&lt;('2. Inputs and results'!$C$21+1),V28+('2. Inputs and results'!$C$75*'2. Inputs and results'!$C$73)," ")</f>
        <v xml:space="preserve"> </v>
      </c>
      <c r="W29" s="4" t="e">
        <f>IF(A29&lt;('2. Inputs and results'!$C$21+1),W28+C29+Y29-$V$6,NA())</f>
        <v>#N/A</v>
      </c>
      <c r="X29" s="4" t="str">
        <f>IF(A29&lt;('2. Inputs and results'!$C$21+1),'2. Inputs and results'!$C$79*(W28)," ")</f>
        <v xml:space="preserve"> </v>
      </c>
      <c r="Y29" s="4">
        <f t="shared" si="2"/>
        <v>0</v>
      </c>
      <c r="Z29" s="4" t="e">
        <f>IF(A29&lt;('2. Inputs and results'!$C$21+1),Z28+((C29-$V$6+Y29)/((1+$P$2)^A29)),NA())</f>
        <v>#N/A</v>
      </c>
      <c r="AA29" s="4" t="str">
        <f>IF(A29&lt;('2. Inputs and results'!$C$21+1),AA28+G29+I29+H29+T29-$V$6," ")</f>
        <v xml:space="preserve"> </v>
      </c>
      <c r="AB29" s="20" t="e">
        <f>IF(A29&lt;('2. Inputs and results'!$C$21+1),AA29/L29,NA())</f>
        <v>#N/A</v>
      </c>
      <c r="AC29" s="29" t="str">
        <f>IF(A29&lt;('2. Inputs and results'!$C$21+1),AC28+C29+Y29-$V$6," ")</f>
        <v xml:space="preserve"> </v>
      </c>
      <c r="AD29" s="20" t="e">
        <f>IF(A29&lt;('2. Inputs and results'!$C$21+1),AC29/L29,NA())</f>
        <v>#N/A</v>
      </c>
      <c r="AE29" t="str">
        <f>IF(A29&lt;('2. Inputs and results'!$C$21+1),-'2. Inputs and results'!$C$121*A29," ")</f>
        <v xml:space="preserve"> </v>
      </c>
      <c r="AF29" t="e">
        <f>IF(A29&lt;('2. Inputs and results'!$C$21+1),AE29/1000,NA())</f>
        <v>#N/A</v>
      </c>
    </row>
    <row r="30" spans="1:32" x14ac:dyDescent="0.25">
      <c r="A30">
        <f t="shared" si="0"/>
        <v>25</v>
      </c>
      <c r="B30" t="str">
        <f>IF(A30&lt;('2. Inputs and results'!$C$21+1),A30," ")</f>
        <v xml:space="preserve"> </v>
      </c>
      <c r="C30" s="4" t="str">
        <f>IF(A30&lt;('2. Inputs and results'!$C$21+1),'2. Inputs and results'!$C$99+'2. Inputs and results'!$C$101," ")</f>
        <v xml:space="preserve"> </v>
      </c>
      <c r="D30" s="4" t="e">
        <f>IF(A30&lt;('2. Inputs and results'!$C$21+1),D29+C30,NA())</f>
        <v>#N/A</v>
      </c>
      <c r="E30" s="4" t="str">
        <f>IF(A30&lt;('2. Inputs and results'!$C$21+1),C30/((1+$P$2)^A30)," ")</f>
        <v xml:space="preserve"> </v>
      </c>
      <c r="F30" s="4" t="str">
        <f>IF(B30&lt;('2. Inputs and results'!$C$21+1),F29+E30," ")</f>
        <v xml:space="preserve"> </v>
      </c>
      <c r="G30" s="4" t="str">
        <f>IF(A30&lt;('2. Inputs and results'!$C$21+1),G29*(1+'2. Inputs and results'!$C$46)," ")</f>
        <v xml:space="preserve"> </v>
      </c>
      <c r="H30" s="4" t="str">
        <f>IF(A30&lt;('2. Inputs and results'!$C$21+1),H29*(1+'2. Inputs and results'!$C$58)," ")</f>
        <v xml:space="preserve"> </v>
      </c>
      <c r="I30" s="4" t="str">
        <f>IF(A30&lt;('2. Inputs and results'!$C$21+1),I29*(1+'2. Inputs and results'!$C$34)," ")</f>
        <v xml:space="preserve"> </v>
      </c>
      <c r="J30" s="4" t="str">
        <f>IF(A30&lt;('2. Inputs and results'!$C$21+1),J29*(1+'2. Inputs and results'!$C$68)," ")</f>
        <v xml:space="preserve"> </v>
      </c>
      <c r="K30" s="4" t="e">
        <f>IF(A30&lt;('2. Inputs and results'!$C$21+1),K29+(G30+I30+H30+J30),NA())</f>
        <v>#N/A</v>
      </c>
      <c r="L30" s="4" t="e">
        <f>IF(A30&lt;('2. Inputs and results'!$C$21+1),L29,NA())</f>
        <v>#N/A</v>
      </c>
      <c r="M30" s="4" t="str">
        <f>IF(A30&lt;('2. Inputs and results'!$C$21+1),'2. Inputs and results'!$C$75*'2. Inputs and results'!$C$73," ")</f>
        <v xml:space="preserve"> </v>
      </c>
      <c r="N30" s="4" t="str">
        <f>IF(A30&lt;('2. Inputs and results'!$C$21+1),M30/((1+$P$2)^A30)," ")</f>
        <v xml:space="preserve"> </v>
      </c>
      <c r="O30" s="4" t="str">
        <f>IF(A30&lt;('2. Inputs and results'!$C$21+1),'2. Inputs and results'!$C$73*'2. Inputs and results'!$C$75+O29," ")</f>
        <v xml:space="preserve"> </v>
      </c>
      <c r="P30" s="4" t="str">
        <f>IF(A30&lt;('2. Inputs and results'!$C$21+1),(G30+I30+H30+J30)/((1+$P$2)^A30)," ")</f>
        <v xml:space="preserve"> </v>
      </c>
      <c r="Q30" s="4" t="str">
        <f>IF(A30&lt;('2. Inputs and results'!$C$21+1),Q29+P30," ")</f>
        <v xml:space="preserve"> </v>
      </c>
      <c r="R30" s="4" t="e">
        <f>IF(A30&lt;('2. Inputs and results'!$C$21+1),R29+G30+I30+H30+J30+T30-$V$6,NA())</f>
        <v>#N/A</v>
      </c>
      <c r="S30" s="4" t="str">
        <f>IF(A30&lt;('2. Inputs and results'!$C$21+1),'2. Inputs and results'!$C$79*(R29)," ")</f>
        <v xml:space="preserve"> </v>
      </c>
      <c r="T30" s="4">
        <f t="shared" si="1"/>
        <v>0</v>
      </c>
      <c r="U30" s="4" t="e">
        <f>IF(A30&lt;('2. Inputs and results'!$C$21+1),U29+((G30+I30+H30+J30-$V$6+T30)/((1+$P$2)^A30)),NA())</f>
        <v>#N/A</v>
      </c>
      <c r="V30" s="4" t="str">
        <f>IF(A30&lt;('2. Inputs and results'!$C$21+1),V29+('2. Inputs and results'!$C$75*'2. Inputs and results'!$C$73)," ")</f>
        <v xml:space="preserve"> </v>
      </c>
      <c r="W30" s="4" t="e">
        <f>IF(A30&lt;('2. Inputs and results'!$C$21+1),W29+C30+Y30-$V$6,NA())</f>
        <v>#N/A</v>
      </c>
      <c r="X30" s="4" t="str">
        <f>IF(A30&lt;('2. Inputs and results'!$C$21+1),'2. Inputs and results'!$C$79*(W29)," ")</f>
        <v xml:space="preserve"> </v>
      </c>
      <c r="Y30" s="4">
        <f t="shared" si="2"/>
        <v>0</v>
      </c>
      <c r="Z30" s="4" t="e">
        <f>IF(A30&lt;('2. Inputs and results'!$C$21+1),Z29+((C30-$V$6+Y30)/((1+$P$2)^A30)),NA())</f>
        <v>#N/A</v>
      </c>
      <c r="AA30" s="4" t="str">
        <f>IF(A30&lt;('2. Inputs and results'!$C$21+1),AA29+G30+I30+H30+T30-$V$6," ")</f>
        <v xml:space="preserve"> </v>
      </c>
      <c r="AB30" s="20" t="e">
        <f>IF(A30&lt;('2. Inputs and results'!$C$21+1),AA30/L30,NA())</f>
        <v>#N/A</v>
      </c>
      <c r="AC30" s="29" t="str">
        <f>IF(A30&lt;('2. Inputs and results'!$C$21+1),AC29+C30+Y30-$V$6," ")</f>
        <v xml:space="preserve"> </v>
      </c>
      <c r="AD30" s="20" t="e">
        <f>IF(A30&lt;('2. Inputs and results'!$C$21+1),AC30/L30,NA())</f>
        <v>#N/A</v>
      </c>
      <c r="AE30" t="str">
        <f>IF(A30&lt;('2. Inputs and results'!$C$21+1),-'2. Inputs and results'!$C$121*A30," ")</f>
        <v xml:space="preserve"> </v>
      </c>
      <c r="AF30" t="e">
        <f>IF(A30&lt;('2. Inputs and results'!$C$21+1),AE30/1000,NA())</f>
        <v>#N/A</v>
      </c>
    </row>
    <row r="31" spans="1:32" x14ac:dyDescent="0.25">
      <c r="A31">
        <f t="shared" si="0"/>
        <v>26</v>
      </c>
      <c r="B31" t="str">
        <f>IF(A31&lt;('2. Inputs and results'!$C$21+1),A31," ")</f>
        <v xml:space="preserve"> </v>
      </c>
      <c r="C31" s="4" t="str">
        <f>IF(A31&lt;('2. Inputs and results'!$C$21+1),'2. Inputs and results'!$C$99+'2. Inputs and results'!$C$101," ")</f>
        <v xml:space="preserve"> </v>
      </c>
      <c r="D31" s="4" t="e">
        <f>IF(A31&lt;('2. Inputs and results'!$C$21+1),D30+C31,NA())</f>
        <v>#N/A</v>
      </c>
      <c r="E31" s="4" t="str">
        <f>IF(A31&lt;('2. Inputs and results'!$C$21+1),C31/((1+$P$2)^A31)," ")</f>
        <v xml:space="preserve"> </v>
      </c>
      <c r="F31" s="4" t="str">
        <f>IF(B31&lt;('2. Inputs and results'!$C$21+1),F30+E31," ")</f>
        <v xml:space="preserve"> </v>
      </c>
      <c r="G31" s="4" t="str">
        <f>IF(A31&lt;('2. Inputs and results'!$C$21+1),G30*(1+'2. Inputs and results'!$C$46)," ")</f>
        <v xml:space="preserve"> </v>
      </c>
      <c r="H31" s="4" t="str">
        <f>IF(A31&lt;('2. Inputs and results'!$C$21+1),H30*(1+'2. Inputs and results'!$C$58)," ")</f>
        <v xml:space="preserve"> </v>
      </c>
      <c r="I31" s="4" t="str">
        <f>IF(A31&lt;('2. Inputs and results'!$C$21+1),I30*(1+'2. Inputs and results'!$C$34)," ")</f>
        <v xml:space="preserve"> </v>
      </c>
      <c r="J31" s="4" t="str">
        <f>IF(A31&lt;('2. Inputs and results'!$C$21+1),J30*(1+'2. Inputs and results'!$C$68)," ")</f>
        <v xml:space="preserve"> </v>
      </c>
      <c r="K31" s="4" t="e">
        <f>IF(A31&lt;('2. Inputs and results'!$C$21+1),K30+(G31+I31+H31+J31),NA())</f>
        <v>#N/A</v>
      </c>
      <c r="L31" s="4" t="e">
        <f>IF(A31&lt;('2. Inputs and results'!$C$21+1),L30,NA())</f>
        <v>#N/A</v>
      </c>
      <c r="M31" s="4" t="str">
        <f>IF(A31&lt;('2. Inputs and results'!$C$21+1),'2. Inputs and results'!$C$75*'2. Inputs and results'!$C$73," ")</f>
        <v xml:space="preserve"> </v>
      </c>
      <c r="N31" s="4" t="str">
        <f>IF(A31&lt;('2. Inputs and results'!$C$21+1),M31/((1+$P$2)^A31)," ")</f>
        <v xml:space="preserve"> </v>
      </c>
      <c r="O31" s="4" t="str">
        <f>IF(A31&lt;('2. Inputs and results'!$C$21+1),'2. Inputs and results'!$C$73*'2. Inputs and results'!$C$75+O30," ")</f>
        <v xml:space="preserve"> </v>
      </c>
      <c r="P31" s="4" t="str">
        <f>IF(A31&lt;('2. Inputs and results'!$C$21+1),(G31+I31+H31+J31)/((1+$P$2)^A31)," ")</f>
        <v xml:space="preserve"> </v>
      </c>
      <c r="Q31" s="4" t="str">
        <f>IF(A31&lt;('2. Inputs and results'!$C$21+1),Q30+P31," ")</f>
        <v xml:space="preserve"> </v>
      </c>
      <c r="R31" s="4" t="e">
        <f>IF(A31&lt;('2. Inputs and results'!$C$21+1),R30+G31+I31+H31+J31+T31-$V$6,NA())</f>
        <v>#N/A</v>
      </c>
      <c r="S31" s="4" t="str">
        <f>IF(A31&lt;('2. Inputs and results'!$C$21+1),'2. Inputs and results'!$C$79*(R30)," ")</f>
        <v xml:space="preserve"> </v>
      </c>
      <c r="T31" s="4">
        <f t="shared" si="1"/>
        <v>0</v>
      </c>
      <c r="U31" s="4" t="e">
        <f>IF(A31&lt;('2. Inputs and results'!$C$21+1),U30+((G31+I31+H31+J31-$V$6+T31)/((1+$P$2)^A31)),NA())</f>
        <v>#N/A</v>
      </c>
      <c r="V31" s="4" t="str">
        <f>IF(A31&lt;('2. Inputs and results'!$C$21+1),V30+('2. Inputs and results'!$C$75*'2. Inputs and results'!$C$73)," ")</f>
        <v xml:space="preserve"> </v>
      </c>
      <c r="W31" s="4" t="e">
        <f>IF(A31&lt;('2. Inputs and results'!$C$21+1),W30+C31+Y31-$V$6,NA())</f>
        <v>#N/A</v>
      </c>
      <c r="X31" s="4" t="str">
        <f>IF(A31&lt;('2. Inputs and results'!$C$21+1),'2. Inputs and results'!$C$79*(W30)," ")</f>
        <v xml:space="preserve"> </v>
      </c>
      <c r="Y31" s="4">
        <f t="shared" si="2"/>
        <v>0</v>
      </c>
      <c r="Z31" s="4" t="e">
        <f>IF(A31&lt;('2. Inputs and results'!$C$21+1),Z30+((C31-$V$6+Y31)/((1+$P$2)^A31)),NA())</f>
        <v>#N/A</v>
      </c>
      <c r="AA31" s="4" t="str">
        <f>IF(A31&lt;('2. Inputs and results'!$C$21+1),AA30+G31+I31+H31+T31-$V$6," ")</f>
        <v xml:space="preserve"> </v>
      </c>
      <c r="AB31" s="20" t="e">
        <f>IF(A31&lt;('2. Inputs and results'!$C$21+1),AA31/L31,NA())</f>
        <v>#N/A</v>
      </c>
      <c r="AC31" s="29" t="str">
        <f>IF(A31&lt;('2. Inputs and results'!$C$21+1),AC30+C31+Y31-$V$6," ")</f>
        <v xml:space="preserve"> </v>
      </c>
      <c r="AD31" s="20" t="e">
        <f>IF(A31&lt;('2. Inputs and results'!$C$21+1),AC31/L31,NA())</f>
        <v>#N/A</v>
      </c>
      <c r="AE31" t="str">
        <f>IF(A31&lt;('2. Inputs and results'!$C$21+1),-'2. Inputs and results'!$C$121*A31," ")</f>
        <v xml:space="preserve"> </v>
      </c>
      <c r="AF31" t="e">
        <f>IF(A31&lt;('2. Inputs and results'!$C$21+1),AE31/1000,NA())</f>
        <v>#N/A</v>
      </c>
    </row>
    <row r="32" spans="1:32" x14ac:dyDescent="0.25">
      <c r="A32">
        <f t="shared" si="0"/>
        <v>27</v>
      </c>
      <c r="B32" t="str">
        <f>IF(A32&lt;('2. Inputs and results'!$C$21+1),A32," ")</f>
        <v xml:space="preserve"> </v>
      </c>
      <c r="C32" s="4" t="str">
        <f>IF(A32&lt;('2. Inputs and results'!$C$21+1),'2. Inputs and results'!$C$99+'2. Inputs and results'!$C$101," ")</f>
        <v xml:space="preserve"> </v>
      </c>
      <c r="D32" s="4" t="e">
        <f>IF(A32&lt;('2. Inputs and results'!$C$21+1),D31+C32,NA())</f>
        <v>#N/A</v>
      </c>
      <c r="E32" s="4" t="str">
        <f>IF(A32&lt;('2. Inputs and results'!$C$21+1),C32/((1+$P$2)^A32)," ")</f>
        <v xml:space="preserve"> </v>
      </c>
      <c r="F32" s="4" t="str">
        <f>IF(B32&lt;('2. Inputs and results'!$C$21+1),F31+E32," ")</f>
        <v xml:space="preserve"> </v>
      </c>
      <c r="G32" s="4" t="str">
        <f>IF(A32&lt;('2. Inputs and results'!$C$21+1),G31*(1+'2. Inputs and results'!$C$46)," ")</f>
        <v xml:space="preserve"> </v>
      </c>
      <c r="H32" s="4" t="str">
        <f>IF(A32&lt;('2. Inputs and results'!$C$21+1),H31*(1+'2. Inputs and results'!$C$58)," ")</f>
        <v xml:space="preserve"> </v>
      </c>
      <c r="I32" s="4" t="str">
        <f>IF(A32&lt;('2. Inputs and results'!$C$21+1),I31*(1+'2. Inputs and results'!$C$34)," ")</f>
        <v xml:space="preserve"> </v>
      </c>
      <c r="J32" s="4" t="str">
        <f>IF(A32&lt;('2. Inputs and results'!$C$21+1),J31*(1+'2. Inputs and results'!$C$68)," ")</f>
        <v xml:space="preserve"> </v>
      </c>
      <c r="K32" s="4" t="e">
        <f>IF(A32&lt;('2. Inputs and results'!$C$21+1),K31+(G32+I32+H32+J32),NA())</f>
        <v>#N/A</v>
      </c>
      <c r="L32" s="4" t="e">
        <f>IF(A32&lt;('2. Inputs and results'!$C$21+1),L31,NA())</f>
        <v>#N/A</v>
      </c>
      <c r="M32" s="4" t="str">
        <f>IF(A32&lt;('2. Inputs and results'!$C$21+1),'2. Inputs and results'!$C$75*'2. Inputs and results'!$C$73," ")</f>
        <v xml:space="preserve"> </v>
      </c>
      <c r="N32" s="4" t="str">
        <f>IF(A32&lt;('2. Inputs and results'!$C$21+1),M32/((1+$P$2)^A32)," ")</f>
        <v xml:space="preserve"> </v>
      </c>
      <c r="O32" s="4" t="str">
        <f>IF(A32&lt;('2. Inputs and results'!$C$21+1),'2. Inputs and results'!$C$73*'2. Inputs and results'!$C$75+O31," ")</f>
        <v xml:space="preserve"> </v>
      </c>
      <c r="P32" s="4" t="str">
        <f>IF(A32&lt;('2. Inputs and results'!$C$21+1),(G32+I32+H32+J32)/((1+$P$2)^A32)," ")</f>
        <v xml:space="preserve"> </v>
      </c>
      <c r="Q32" s="4" t="str">
        <f>IF(A32&lt;('2. Inputs and results'!$C$21+1),Q31+P32," ")</f>
        <v xml:space="preserve"> </v>
      </c>
      <c r="R32" s="4" t="e">
        <f>IF(A32&lt;('2. Inputs and results'!$C$21+1),R31+G32+I32+H32+J32+T32-$V$6,NA())</f>
        <v>#N/A</v>
      </c>
      <c r="S32" s="4" t="str">
        <f>IF(A32&lt;('2. Inputs and results'!$C$21+1),'2. Inputs and results'!$C$79*(R31)," ")</f>
        <v xml:space="preserve"> </v>
      </c>
      <c r="T32" s="4">
        <f t="shared" si="1"/>
        <v>0</v>
      </c>
      <c r="U32" s="4" t="e">
        <f>IF(A32&lt;('2. Inputs and results'!$C$21+1),U31+((G32+I32+H32+J32-$V$6+T32)/((1+$P$2)^A32)),NA())</f>
        <v>#N/A</v>
      </c>
      <c r="V32" s="4" t="str">
        <f>IF(A32&lt;('2. Inputs and results'!$C$21+1),V31+('2. Inputs and results'!$C$75*'2. Inputs and results'!$C$73)," ")</f>
        <v xml:space="preserve"> </v>
      </c>
      <c r="W32" s="4" t="e">
        <f>IF(A32&lt;('2. Inputs and results'!$C$21+1),W31+C32+Y32-$V$6,NA())</f>
        <v>#N/A</v>
      </c>
      <c r="X32" s="4" t="str">
        <f>IF(A32&lt;('2. Inputs and results'!$C$21+1),'2. Inputs and results'!$C$79*(W31)," ")</f>
        <v xml:space="preserve"> </v>
      </c>
      <c r="Y32" s="4">
        <f t="shared" si="2"/>
        <v>0</v>
      </c>
      <c r="Z32" s="4" t="e">
        <f>IF(A32&lt;('2. Inputs and results'!$C$21+1),Z31+((C32-$V$6+Y32)/((1+$P$2)^A32)),NA())</f>
        <v>#N/A</v>
      </c>
      <c r="AA32" s="4" t="str">
        <f>IF(A32&lt;('2. Inputs and results'!$C$21+1),AA31+G32+I32+H32+T32-$V$6," ")</f>
        <v xml:space="preserve"> </v>
      </c>
      <c r="AB32" s="20" t="e">
        <f>IF(A32&lt;('2. Inputs and results'!$C$21+1),AA32/L32,NA())</f>
        <v>#N/A</v>
      </c>
      <c r="AC32" s="29" t="str">
        <f>IF(A32&lt;('2. Inputs and results'!$C$21+1),AC31+C32+Y32-$V$6," ")</f>
        <v xml:space="preserve"> </v>
      </c>
      <c r="AD32" s="20" t="e">
        <f>IF(A32&lt;('2. Inputs and results'!$C$21+1),AC32/L32,NA())</f>
        <v>#N/A</v>
      </c>
      <c r="AE32" t="str">
        <f>IF(A32&lt;('2. Inputs and results'!$C$21+1),-'2. Inputs and results'!$C$121*A32," ")</f>
        <v xml:space="preserve"> </v>
      </c>
      <c r="AF32" t="e">
        <f>IF(A32&lt;('2. Inputs and results'!$C$21+1),AE32/1000,NA())</f>
        <v>#N/A</v>
      </c>
    </row>
    <row r="33" spans="1:32" x14ac:dyDescent="0.25">
      <c r="A33">
        <f t="shared" si="0"/>
        <v>28</v>
      </c>
      <c r="B33" t="str">
        <f>IF(A33&lt;('2. Inputs and results'!$C$21+1),A33," ")</f>
        <v xml:space="preserve"> </v>
      </c>
      <c r="C33" s="4" t="str">
        <f>IF(A33&lt;('2. Inputs and results'!$C$21+1),'2. Inputs and results'!$C$99+'2. Inputs and results'!$C$101," ")</f>
        <v xml:space="preserve"> </v>
      </c>
      <c r="D33" s="4" t="e">
        <f>IF(A33&lt;('2. Inputs and results'!$C$21+1),D32+C33,NA())</f>
        <v>#N/A</v>
      </c>
      <c r="E33" s="4" t="str">
        <f>IF(A33&lt;('2. Inputs and results'!$C$21+1),C33/((1+$P$2)^A33)," ")</f>
        <v xml:space="preserve"> </v>
      </c>
      <c r="F33" s="4" t="str">
        <f>IF(B33&lt;('2. Inputs and results'!$C$21+1),F32+E33," ")</f>
        <v xml:space="preserve"> </v>
      </c>
      <c r="G33" s="4" t="str">
        <f>IF(A33&lt;('2. Inputs and results'!$C$21+1),G32*(1+'2. Inputs and results'!$C$46)," ")</f>
        <v xml:space="preserve"> </v>
      </c>
      <c r="H33" s="4" t="str">
        <f>IF(A33&lt;('2. Inputs and results'!$C$21+1),H32*(1+'2. Inputs and results'!$C$58)," ")</f>
        <v xml:space="preserve"> </v>
      </c>
      <c r="I33" s="4" t="str">
        <f>IF(A33&lt;('2. Inputs and results'!$C$21+1),I32*(1+'2. Inputs and results'!$C$34)," ")</f>
        <v xml:space="preserve"> </v>
      </c>
      <c r="J33" s="4" t="str">
        <f>IF(A33&lt;('2. Inputs and results'!$C$21+1),J32*(1+'2. Inputs and results'!$C$68)," ")</f>
        <v xml:space="preserve"> </v>
      </c>
      <c r="K33" s="4" t="e">
        <f>IF(A33&lt;('2. Inputs and results'!$C$21+1),K32+(G33+I33+H33+J33),NA())</f>
        <v>#N/A</v>
      </c>
      <c r="L33" s="4" t="e">
        <f>IF(A33&lt;('2. Inputs and results'!$C$21+1),L32,NA())</f>
        <v>#N/A</v>
      </c>
      <c r="M33" s="4" t="str">
        <f>IF(A33&lt;('2. Inputs and results'!$C$21+1),'2. Inputs and results'!$C$75*'2. Inputs and results'!$C$73," ")</f>
        <v xml:space="preserve"> </v>
      </c>
      <c r="N33" s="4" t="str">
        <f>IF(A33&lt;('2. Inputs and results'!$C$21+1),M33/((1+$P$2)^A33)," ")</f>
        <v xml:space="preserve"> </v>
      </c>
      <c r="O33" s="4" t="str">
        <f>IF(A33&lt;('2. Inputs and results'!$C$21+1),'2. Inputs and results'!$C$73*'2. Inputs and results'!$C$75+O32," ")</f>
        <v xml:space="preserve"> </v>
      </c>
      <c r="P33" s="4" t="str">
        <f>IF(A33&lt;('2. Inputs and results'!$C$21+1),(G33+I33+H33+J33)/((1+$P$2)^A33)," ")</f>
        <v xml:space="preserve"> </v>
      </c>
      <c r="Q33" s="4" t="str">
        <f>IF(A33&lt;('2. Inputs and results'!$C$21+1),Q32+P33," ")</f>
        <v xml:space="preserve"> </v>
      </c>
      <c r="R33" s="4" t="e">
        <f>IF(A33&lt;('2. Inputs and results'!$C$21+1),R32+G33+I33+H33+J33+T33-$V$6,NA())</f>
        <v>#N/A</v>
      </c>
      <c r="S33" s="4" t="str">
        <f>IF(A33&lt;('2. Inputs and results'!$C$21+1),'2. Inputs and results'!$C$79*(R32)," ")</f>
        <v xml:space="preserve"> </v>
      </c>
      <c r="T33" s="4">
        <f t="shared" si="1"/>
        <v>0</v>
      </c>
      <c r="U33" s="4" t="e">
        <f>IF(A33&lt;('2. Inputs and results'!$C$21+1),U32+((G33+I33+H33+J33-$V$6+T33)/((1+$P$2)^A33)),NA())</f>
        <v>#N/A</v>
      </c>
      <c r="V33" s="4" t="str">
        <f>IF(A33&lt;('2. Inputs and results'!$C$21+1),V32+('2. Inputs and results'!$C$75*'2. Inputs and results'!$C$73)," ")</f>
        <v xml:space="preserve"> </v>
      </c>
      <c r="W33" s="4" t="e">
        <f>IF(A33&lt;('2. Inputs and results'!$C$21+1),W32+C33+Y33-$V$6,NA())</f>
        <v>#N/A</v>
      </c>
      <c r="X33" s="4" t="str">
        <f>IF(A33&lt;('2. Inputs and results'!$C$21+1),'2. Inputs and results'!$C$79*(W32)," ")</f>
        <v xml:space="preserve"> </v>
      </c>
      <c r="Y33" s="4">
        <f t="shared" si="2"/>
        <v>0</v>
      </c>
      <c r="Z33" s="4" t="e">
        <f>IF(A33&lt;('2. Inputs and results'!$C$21+1),Z32+((C33-$V$6+Y33)/((1+$P$2)^A33)),NA())</f>
        <v>#N/A</v>
      </c>
      <c r="AA33" s="4" t="str">
        <f>IF(A33&lt;('2. Inputs and results'!$C$21+1),AA32+G33+I33+H33+T33-$V$6," ")</f>
        <v xml:space="preserve"> </v>
      </c>
      <c r="AB33" s="20" t="e">
        <f>IF(A33&lt;('2. Inputs and results'!$C$21+1),AA33/L33,NA())</f>
        <v>#N/A</v>
      </c>
      <c r="AC33" s="29" t="str">
        <f>IF(A33&lt;('2. Inputs and results'!$C$21+1),AC32+C33+Y33-$V$6," ")</f>
        <v xml:space="preserve"> </v>
      </c>
      <c r="AD33" s="20" t="e">
        <f>IF(A33&lt;('2. Inputs and results'!$C$21+1),AC33/L33,NA())</f>
        <v>#N/A</v>
      </c>
      <c r="AE33" t="str">
        <f>IF(A33&lt;('2. Inputs and results'!$C$21+1),-'2. Inputs and results'!$C$121*A33," ")</f>
        <v xml:space="preserve"> </v>
      </c>
      <c r="AF33" t="e">
        <f>IF(A33&lt;('2. Inputs and results'!$C$21+1),AE33/1000,NA())</f>
        <v>#N/A</v>
      </c>
    </row>
    <row r="34" spans="1:32" x14ac:dyDescent="0.25">
      <c r="A34">
        <f t="shared" si="0"/>
        <v>29</v>
      </c>
      <c r="B34" t="str">
        <f>IF(A34&lt;('2. Inputs and results'!$C$21+1),A34," ")</f>
        <v xml:space="preserve"> </v>
      </c>
      <c r="C34" s="4" t="str">
        <f>IF(A34&lt;('2. Inputs and results'!$C$21+1),'2. Inputs and results'!$C$99+'2. Inputs and results'!$C$101," ")</f>
        <v xml:space="preserve"> </v>
      </c>
      <c r="D34" s="4" t="e">
        <f>IF(A34&lt;('2. Inputs and results'!$C$21+1),D33+C34,NA())</f>
        <v>#N/A</v>
      </c>
      <c r="E34" s="4" t="str">
        <f>IF(A34&lt;('2. Inputs and results'!$C$21+1),C34/((1+$P$2)^A34)," ")</f>
        <v xml:space="preserve"> </v>
      </c>
      <c r="F34" s="4" t="str">
        <f>IF(B34&lt;('2. Inputs and results'!$C$21+1),F33+E34," ")</f>
        <v xml:space="preserve"> </v>
      </c>
      <c r="G34" s="4" t="str">
        <f>IF(A34&lt;('2. Inputs and results'!$C$21+1),G33*(1+'2. Inputs and results'!$C$46)," ")</f>
        <v xml:space="preserve"> </v>
      </c>
      <c r="H34" s="4" t="str">
        <f>IF(A34&lt;('2. Inputs and results'!$C$21+1),H33*(1+'2. Inputs and results'!$C$58)," ")</f>
        <v xml:space="preserve"> </v>
      </c>
      <c r="I34" s="4" t="str">
        <f>IF(A34&lt;('2. Inputs and results'!$C$21+1),I33*(1+'2. Inputs and results'!$C$34)," ")</f>
        <v xml:space="preserve"> </v>
      </c>
      <c r="J34" s="4" t="str">
        <f>IF(A34&lt;('2. Inputs and results'!$C$21+1),J33*(1+'2. Inputs and results'!$C$68)," ")</f>
        <v xml:space="preserve"> </v>
      </c>
      <c r="K34" s="4" t="e">
        <f>IF(A34&lt;('2. Inputs and results'!$C$21+1),K33+(G34+I34+H34+J34),NA())</f>
        <v>#N/A</v>
      </c>
      <c r="L34" s="4" t="e">
        <f>IF(A34&lt;('2. Inputs and results'!$C$21+1),L33,NA())</f>
        <v>#N/A</v>
      </c>
      <c r="M34" s="4" t="str">
        <f>IF(A34&lt;('2. Inputs and results'!$C$21+1),'2. Inputs and results'!$C$75*'2. Inputs and results'!$C$73," ")</f>
        <v xml:space="preserve"> </v>
      </c>
      <c r="N34" s="4" t="str">
        <f>IF(A34&lt;('2. Inputs and results'!$C$21+1),M34/((1+$P$2)^A34)," ")</f>
        <v xml:space="preserve"> </v>
      </c>
      <c r="O34" s="4" t="str">
        <f>IF(A34&lt;('2. Inputs and results'!$C$21+1),'2. Inputs and results'!$C$73*'2. Inputs and results'!$C$75+O33," ")</f>
        <v xml:space="preserve"> </v>
      </c>
      <c r="P34" s="4" t="str">
        <f>IF(A34&lt;('2. Inputs and results'!$C$21+1),(G34+I34+H34+J34)/((1+$P$2)^A34)," ")</f>
        <v xml:space="preserve"> </v>
      </c>
      <c r="Q34" s="4" t="str">
        <f>IF(A34&lt;('2. Inputs and results'!$C$21+1),Q33+P34," ")</f>
        <v xml:space="preserve"> </v>
      </c>
      <c r="R34" s="4" t="e">
        <f>IF(A34&lt;('2. Inputs and results'!$C$21+1),R33+G34+I34+H34+J34+T34-$V$6,NA())</f>
        <v>#N/A</v>
      </c>
      <c r="S34" s="4" t="str">
        <f>IF(A34&lt;('2. Inputs and results'!$C$21+1),'2. Inputs and results'!$C$79*(R33)," ")</f>
        <v xml:space="preserve"> </v>
      </c>
      <c r="T34" s="4">
        <f t="shared" si="1"/>
        <v>0</v>
      </c>
      <c r="U34" s="4" t="e">
        <f>IF(A34&lt;('2. Inputs and results'!$C$21+1),U33+((G34+I34+H34+J34-$V$6+T34)/((1+$P$2)^A34)),NA())</f>
        <v>#N/A</v>
      </c>
      <c r="V34" s="4" t="str">
        <f>IF(A34&lt;('2. Inputs and results'!$C$21+1),V33+('2. Inputs and results'!$C$75*'2. Inputs and results'!$C$73)," ")</f>
        <v xml:space="preserve"> </v>
      </c>
      <c r="W34" s="4" t="e">
        <f>IF(A34&lt;('2. Inputs and results'!$C$21+1),W33+C34+Y34-$V$6,NA())</f>
        <v>#N/A</v>
      </c>
      <c r="X34" s="4" t="str">
        <f>IF(A34&lt;('2. Inputs and results'!$C$21+1),'2. Inputs and results'!$C$79*(W33)," ")</f>
        <v xml:space="preserve"> </v>
      </c>
      <c r="Y34" s="4">
        <f t="shared" si="2"/>
        <v>0</v>
      </c>
      <c r="Z34" s="4" t="e">
        <f>IF(A34&lt;('2. Inputs and results'!$C$21+1),Z33+((C34-$V$6+Y34)/((1+$P$2)^A34)),NA())</f>
        <v>#N/A</v>
      </c>
      <c r="AA34" s="4" t="str">
        <f>IF(A34&lt;('2. Inputs and results'!$C$21+1),AA33+G34+I34+H34+T34-$V$6," ")</f>
        <v xml:space="preserve"> </v>
      </c>
      <c r="AB34" s="20" t="e">
        <f>IF(A34&lt;('2. Inputs and results'!$C$21+1),AA34/L34,NA())</f>
        <v>#N/A</v>
      </c>
      <c r="AC34" s="29" t="str">
        <f>IF(A34&lt;('2. Inputs and results'!$C$21+1),AC33+C34+Y34-$V$6," ")</f>
        <v xml:space="preserve"> </v>
      </c>
      <c r="AD34" s="20" t="e">
        <f>IF(A34&lt;('2. Inputs and results'!$C$21+1),AC34/L34,NA())</f>
        <v>#N/A</v>
      </c>
      <c r="AE34" t="str">
        <f>IF(A34&lt;('2. Inputs and results'!$C$21+1),-'2. Inputs and results'!$C$121*A34," ")</f>
        <v xml:space="preserve"> </v>
      </c>
      <c r="AF34" t="e">
        <f>IF(A34&lt;('2. Inputs and results'!$C$21+1),AE34/1000,NA())</f>
        <v>#N/A</v>
      </c>
    </row>
    <row r="35" spans="1:32" x14ac:dyDescent="0.25">
      <c r="A35">
        <f t="shared" si="0"/>
        <v>30</v>
      </c>
      <c r="B35" t="str">
        <f>IF(A35&lt;('2. Inputs and results'!$C$21+1),A35," ")</f>
        <v xml:space="preserve"> </v>
      </c>
      <c r="C35" s="4" t="str">
        <f>IF(A35&lt;('2. Inputs and results'!$C$21+1),'2. Inputs and results'!$C$99+'2. Inputs and results'!$C$101," ")</f>
        <v xml:space="preserve"> </v>
      </c>
      <c r="D35" s="4" t="e">
        <f>IF(A35&lt;('2. Inputs and results'!$C$21+1),D34+C35,NA())</f>
        <v>#N/A</v>
      </c>
      <c r="E35" s="4" t="str">
        <f>IF(A35&lt;('2. Inputs and results'!$C$21+1),C35/((1+$P$2)^A35)," ")</f>
        <v xml:space="preserve"> </v>
      </c>
      <c r="F35" s="4" t="str">
        <f>IF(B35&lt;('2. Inputs and results'!$C$21+1),F34+E35," ")</f>
        <v xml:space="preserve"> </v>
      </c>
      <c r="G35" s="4" t="str">
        <f>IF(A35&lt;('2. Inputs and results'!$C$21+1),G34*(1+'2. Inputs and results'!$C$46)," ")</f>
        <v xml:space="preserve"> </v>
      </c>
      <c r="H35" s="4" t="str">
        <f>IF(A35&lt;('2. Inputs and results'!$C$21+1),H34*(1+'2. Inputs and results'!$C$58)," ")</f>
        <v xml:space="preserve"> </v>
      </c>
      <c r="I35" s="4" t="str">
        <f>IF(A35&lt;('2. Inputs and results'!$C$21+1),I34*(1+'2. Inputs and results'!$C$34)," ")</f>
        <v xml:space="preserve"> </v>
      </c>
      <c r="J35" s="4" t="str">
        <f>IF(A35&lt;('2. Inputs and results'!$C$21+1),J34*(1+'2. Inputs and results'!$C$68)," ")</f>
        <v xml:space="preserve"> </v>
      </c>
      <c r="K35" s="4" t="e">
        <f>IF(A35&lt;('2. Inputs and results'!$C$21+1),K34+(G35+I35+H35+J35),NA())</f>
        <v>#N/A</v>
      </c>
      <c r="L35" s="4" t="e">
        <f>IF(A35&lt;('2. Inputs and results'!$C$21+1),L34,NA())</f>
        <v>#N/A</v>
      </c>
      <c r="M35" s="4" t="str">
        <f>IF(A35&lt;('2. Inputs and results'!$C$21+1),'2. Inputs and results'!$C$75*'2. Inputs and results'!$C$73," ")</f>
        <v xml:space="preserve"> </v>
      </c>
      <c r="N35" s="4" t="str">
        <f>IF(A35&lt;('2. Inputs and results'!$C$21+1),M35/((1+$P$2)^A35)," ")</f>
        <v xml:space="preserve"> </v>
      </c>
      <c r="O35" s="4" t="str">
        <f>IF(A35&lt;('2. Inputs and results'!$C$21+1),'2. Inputs and results'!$C$73*'2. Inputs and results'!$C$75+O34," ")</f>
        <v xml:space="preserve"> </v>
      </c>
      <c r="P35" s="4" t="str">
        <f>IF(A35&lt;('2. Inputs and results'!$C$21+1),(G35+I35+H35+J35)/((1+$P$2)^A35)," ")</f>
        <v xml:space="preserve"> </v>
      </c>
      <c r="Q35" s="4" t="str">
        <f>IF(A35&lt;('2. Inputs and results'!$C$21+1),Q34+P35," ")</f>
        <v xml:space="preserve"> </v>
      </c>
      <c r="R35" s="4" t="e">
        <f>IF(A35&lt;('2. Inputs and results'!$C$21+1),R34+G35+I35+H35+J35+T35-$V$6,NA())</f>
        <v>#N/A</v>
      </c>
      <c r="S35" s="4" t="str">
        <f>IF(A35&lt;('2. Inputs and results'!$C$21+1),'2. Inputs and results'!$C$79*(R34)," ")</f>
        <v xml:space="preserve"> </v>
      </c>
      <c r="T35" s="4">
        <f t="shared" si="1"/>
        <v>0</v>
      </c>
      <c r="U35" s="4" t="e">
        <f>IF(A35&lt;('2. Inputs and results'!$C$21+1),U34+((G35+I35+H35+J35-$V$6+T35)/((1+$P$2)^A35)),NA())</f>
        <v>#N/A</v>
      </c>
      <c r="V35" s="4" t="str">
        <f>IF(A35&lt;('2. Inputs and results'!$C$21+1),V34+('2. Inputs and results'!$C$75*'2. Inputs and results'!$C$73)," ")</f>
        <v xml:space="preserve"> </v>
      </c>
      <c r="W35" s="4" t="e">
        <f>IF(A35&lt;('2. Inputs and results'!$C$21+1),W34+C35+Y35-$V$6,NA())</f>
        <v>#N/A</v>
      </c>
      <c r="X35" s="4" t="str">
        <f>IF(A35&lt;('2. Inputs and results'!$C$21+1),'2. Inputs and results'!$C$79*(W34)," ")</f>
        <v xml:space="preserve"> </v>
      </c>
      <c r="Y35" s="4">
        <f t="shared" si="2"/>
        <v>0</v>
      </c>
      <c r="Z35" s="4" t="e">
        <f>IF(A35&lt;('2. Inputs and results'!$C$21+1),Z34+((C35-$V$6+Y35)/((1+$P$2)^A35)),NA())</f>
        <v>#N/A</v>
      </c>
      <c r="AA35" s="4" t="str">
        <f>IF(A35&lt;('2. Inputs and results'!$C$21+1),AA34+G35+I35+H35+T35-$V$6," ")</f>
        <v xml:space="preserve"> </v>
      </c>
      <c r="AB35" s="20" t="e">
        <f>IF(A35&lt;('2. Inputs and results'!$C$21+1),AA35/L35,NA())</f>
        <v>#N/A</v>
      </c>
      <c r="AC35" s="29" t="str">
        <f>IF(A35&lt;('2. Inputs and results'!$C$21+1),AC34+C35+Y35-$V$6," ")</f>
        <v xml:space="preserve"> </v>
      </c>
      <c r="AD35" s="20" t="e">
        <f>IF(A35&lt;('2. Inputs and results'!$C$21+1),AC35/L35,NA())</f>
        <v>#N/A</v>
      </c>
      <c r="AE35" t="str">
        <f>IF(A35&lt;('2. Inputs and results'!$C$21+1),-'2. Inputs and results'!$C$121*A35," ")</f>
        <v xml:space="preserve"> </v>
      </c>
      <c r="AF35" t="e">
        <f>IF(A35&lt;('2. Inputs and results'!$C$21+1),AE35/1000,NA())</f>
        <v>#N/A</v>
      </c>
    </row>
    <row r="36" spans="1:32" x14ac:dyDescent="0.25">
      <c r="A36">
        <f t="shared" si="0"/>
        <v>31</v>
      </c>
      <c r="B36" t="str">
        <f>IF(A36&lt;('2. Inputs and results'!$C$21+1),A36," ")</f>
        <v xml:space="preserve"> </v>
      </c>
      <c r="C36" s="4" t="str">
        <f>IF(A36&lt;('2. Inputs and results'!$C$21+1),'2. Inputs and results'!$C$99+'2. Inputs and results'!$C$101," ")</f>
        <v xml:space="preserve"> </v>
      </c>
      <c r="D36" s="4" t="e">
        <f>IF(A36&lt;('2. Inputs and results'!$C$21+1),D35+C36,NA())</f>
        <v>#N/A</v>
      </c>
      <c r="E36" s="4" t="str">
        <f>IF(A36&lt;('2. Inputs and results'!$C$21+1),C36/((1+$P$2)^A36)," ")</f>
        <v xml:space="preserve"> </v>
      </c>
      <c r="F36" s="4" t="str">
        <f>IF(B36&lt;('2. Inputs and results'!$C$21+1),F35+E36," ")</f>
        <v xml:space="preserve"> </v>
      </c>
      <c r="G36" s="4" t="str">
        <f>IF(A36&lt;('2. Inputs and results'!$C$21+1),G35*(1+'2. Inputs and results'!$C$46)," ")</f>
        <v xml:space="preserve"> </v>
      </c>
      <c r="H36" s="4" t="str">
        <f>IF(A36&lt;('2. Inputs and results'!$C$21+1),H35*(1+'2. Inputs and results'!$C$58)," ")</f>
        <v xml:space="preserve"> </v>
      </c>
      <c r="I36" s="4" t="str">
        <f>IF(A36&lt;('2. Inputs and results'!$C$21+1),I35*(1+'2. Inputs and results'!$C$34)," ")</f>
        <v xml:space="preserve"> </v>
      </c>
      <c r="J36" s="4" t="str">
        <f>IF(A36&lt;('2. Inputs and results'!$C$21+1),J35*(1+'2. Inputs and results'!$C$68)," ")</f>
        <v xml:space="preserve"> </v>
      </c>
      <c r="K36" s="4" t="e">
        <f>IF(A36&lt;('2. Inputs and results'!$C$21+1),K35+(G36+I36+H36+J36),NA())</f>
        <v>#N/A</v>
      </c>
      <c r="L36" s="4" t="e">
        <f>IF(A36&lt;('2. Inputs and results'!$C$21+1),L35,NA())</f>
        <v>#N/A</v>
      </c>
      <c r="M36" s="4" t="str">
        <f>IF(A36&lt;('2. Inputs and results'!$C$21+1),'2. Inputs and results'!$C$75*'2. Inputs and results'!$C$73," ")</f>
        <v xml:space="preserve"> </v>
      </c>
      <c r="N36" s="4" t="str">
        <f>IF(A36&lt;('2. Inputs and results'!$C$21+1),M36/((1+$P$2)^A36)," ")</f>
        <v xml:space="preserve"> </v>
      </c>
      <c r="O36" s="4" t="str">
        <f>IF(A36&lt;('2. Inputs and results'!$C$21+1),'2. Inputs and results'!$C$73*'2. Inputs and results'!$C$75+O35," ")</f>
        <v xml:space="preserve"> </v>
      </c>
      <c r="P36" s="4" t="str">
        <f>IF(A36&lt;('2. Inputs and results'!$C$21+1),(G36+I36+H36+J36)/((1+$P$2)^A36)," ")</f>
        <v xml:space="preserve"> </v>
      </c>
      <c r="Q36" s="4" t="str">
        <f>IF(A36&lt;('2. Inputs and results'!$C$21+1),Q35+P36," ")</f>
        <v xml:space="preserve"> </v>
      </c>
      <c r="R36" s="4" t="e">
        <f>IF(A36&lt;('2. Inputs and results'!$C$21+1),R35+G36+I36+H36+J36+T36-$V$6,NA())</f>
        <v>#N/A</v>
      </c>
      <c r="S36" s="4" t="str">
        <f>IF(A36&lt;('2. Inputs and results'!$C$21+1),'2. Inputs and results'!$C$79*(R35)," ")</f>
        <v xml:space="preserve"> </v>
      </c>
      <c r="T36" s="4">
        <f t="shared" si="1"/>
        <v>0</v>
      </c>
      <c r="U36" s="4" t="e">
        <f>IF(A36&lt;('2. Inputs and results'!$C$21+1),U35+((G36+I36+H36+J36-$V$6+T36)/((1+$P$2)^A36)),NA())</f>
        <v>#N/A</v>
      </c>
      <c r="V36" s="4" t="str">
        <f>IF(A36&lt;('2. Inputs and results'!$C$21+1),V35+('2. Inputs and results'!$C$75*'2. Inputs and results'!$C$73)," ")</f>
        <v xml:space="preserve"> </v>
      </c>
      <c r="W36" s="4" t="e">
        <f>IF(A36&lt;('2. Inputs and results'!$C$21+1),W35+C36+Y36-$V$6,NA())</f>
        <v>#N/A</v>
      </c>
      <c r="X36" s="4" t="str">
        <f>IF(A36&lt;('2. Inputs and results'!$C$21+1),'2. Inputs and results'!$C$79*(W35)," ")</f>
        <v xml:space="preserve"> </v>
      </c>
      <c r="Y36" s="4">
        <f t="shared" si="2"/>
        <v>0</v>
      </c>
      <c r="Z36" s="4" t="e">
        <f>IF(A36&lt;('2. Inputs and results'!$C$21+1),Z35+((C36-$V$6+Y36)/((1+$P$2)^A36)),NA())</f>
        <v>#N/A</v>
      </c>
      <c r="AA36" s="4" t="str">
        <f>IF(A36&lt;('2. Inputs and results'!$C$21+1),AA35+G36+I36+H36+T36-$V$6," ")</f>
        <v xml:space="preserve"> </v>
      </c>
      <c r="AB36" s="20" t="e">
        <f>IF(A36&lt;('2. Inputs and results'!$C$21+1),AA36/L36,NA())</f>
        <v>#N/A</v>
      </c>
      <c r="AC36" s="29" t="str">
        <f>IF(A36&lt;('2. Inputs and results'!$C$21+1),AC35+C36+Y36-$V$6," ")</f>
        <v xml:space="preserve"> </v>
      </c>
      <c r="AD36" s="20" t="e">
        <f>IF(A36&lt;('2. Inputs and results'!$C$21+1),AC36/L36,NA())</f>
        <v>#N/A</v>
      </c>
      <c r="AE36" t="str">
        <f>IF(A36&lt;('2. Inputs and results'!$C$21+1),-'2. Inputs and results'!$C$121*A36," ")</f>
        <v xml:space="preserve"> </v>
      </c>
      <c r="AF36" t="e">
        <f>IF(A36&lt;('2. Inputs and results'!$C$21+1),AE36/1000,NA())</f>
        <v>#N/A</v>
      </c>
    </row>
    <row r="37" spans="1:32" x14ac:dyDescent="0.25">
      <c r="A37">
        <f t="shared" si="0"/>
        <v>32</v>
      </c>
      <c r="B37" t="str">
        <f>IF(A37&lt;('2. Inputs and results'!$C$21+1),A37," ")</f>
        <v xml:space="preserve"> </v>
      </c>
      <c r="C37" s="4" t="str">
        <f>IF(A37&lt;('2. Inputs and results'!$C$21+1),'2. Inputs and results'!$C$99+'2. Inputs and results'!$C$101," ")</f>
        <v xml:space="preserve"> </v>
      </c>
      <c r="D37" s="4" t="e">
        <f>IF(A37&lt;('2. Inputs and results'!$C$21+1),D36+C37,NA())</f>
        <v>#N/A</v>
      </c>
      <c r="E37" s="4" t="str">
        <f>IF(A37&lt;('2. Inputs and results'!$C$21+1),C37/((1+$P$2)^A37)," ")</f>
        <v xml:space="preserve"> </v>
      </c>
      <c r="F37" s="4" t="str">
        <f>IF(B37&lt;('2. Inputs and results'!$C$21+1),F36+E37," ")</f>
        <v xml:space="preserve"> </v>
      </c>
      <c r="G37" s="4" t="str">
        <f>IF(A37&lt;('2. Inputs and results'!$C$21+1),G36*(1+'2. Inputs and results'!$C$46)," ")</f>
        <v xml:space="preserve"> </v>
      </c>
      <c r="H37" s="4" t="str">
        <f>IF(A37&lt;('2. Inputs and results'!$C$21+1),H36*(1+'2. Inputs and results'!$C$58)," ")</f>
        <v xml:space="preserve"> </v>
      </c>
      <c r="I37" s="4" t="str">
        <f>IF(A37&lt;('2. Inputs and results'!$C$21+1),I36*(1+'2. Inputs and results'!$C$34)," ")</f>
        <v xml:space="preserve"> </v>
      </c>
      <c r="J37" s="4" t="str">
        <f>IF(A37&lt;('2. Inputs and results'!$C$21+1),J36*(1+'2. Inputs and results'!$C$68)," ")</f>
        <v xml:space="preserve"> </v>
      </c>
      <c r="K37" s="4" t="e">
        <f>IF(A37&lt;('2. Inputs and results'!$C$21+1),K36+(G37+I37+H37+J37),NA())</f>
        <v>#N/A</v>
      </c>
      <c r="L37" s="4" t="e">
        <f>IF(A37&lt;('2. Inputs and results'!$C$21+1),L36,NA())</f>
        <v>#N/A</v>
      </c>
      <c r="M37" s="4" t="str">
        <f>IF(A37&lt;('2. Inputs and results'!$C$21+1),'2. Inputs and results'!$C$75*'2. Inputs and results'!$C$73," ")</f>
        <v xml:space="preserve"> </v>
      </c>
      <c r="N37" s="4" t="str">
        <f>IF(A37&lt;('2. Inputs and results'!$C$21+1),M37/((1+$P$2)^A37)," ")</f>
        <v xml:space="preserve"> </v>
      </c>
      <c r="O37" s="4" t="str">
        <f>IF(A37&lt;('2. Inputs and results'!$C$21+1),'2. Inputs and results'!$C$73*'2. Inputs and results'!$C$75+O36," ")</f>
        <v xml:space="preserve"> </v>
      </c>
      <c r="P37" s="4" t="str">
        <f>IF(A37&lt;('2. Inputs and results'!$C$21+1),(G37+I37+H37+J37)/((1+$P$2)^A37)," ")</f>
        <v xml:space="preserve"> </v>
      </c>
      <c r="Q37" s="4" t="str">
        <f>IF(A37&lt;('2. Inputs and results'!$C$21+1),Q36+P37," ")</f>
        <v xml:space="preserve"> </v>
      </c>
      <c r="R37" s="4" t="e">
        <f>IF(A37&lt;('2. Inputs and results'!$C$21+1),R36+G37+I37+H37+J37+T37-$V$6,NA())</f>
        <v>#N/A</v>
      </c>
      <c r="S37" s="4" t="str">
        <f>IF(A37&lt;('2. Inputs and results'!$C$21+1),'2. Inputs and results'!$C$79*(R36)," ")</f>
        <v xml:space="preserve"> </v>
      </c>
      <c r="T37" s="4">
        <f t="shared" si="1"/>
        <v>0</v>
      </c>
      <c r="U37" s="4" t="e">
        <f>IF(A37&lt;('2. Inputs and results'!$C$21+1),U36+((G37+I37+H37+J37-$V$6+T37)/((1+$P$2)^A37)),NA())</f>
        <v>#N/A</v>
      </c>
      <c r="V37" s="4" t="str">
        <f>IF(A37&lt;('2. Inputs and results'!$C$21+1),V36+('2. Inputs and results'!$C$75*'2. Inputs and results'!$C$73)," ")</f>
        <v xml:space="preserve"> </v>
      </c>
      <c r="W37" s="4" t="e">
        <f>IF(A37&lt;('2. Inputs and results'!$C$21+1),W36+C37+Y37-$V$6,NA())</f>
        <v>#N/A</v>
      </c>
      <c r="X37" s="4" t="str">
        <f>IF(A37&lt;('2. Inputs and results'!$C$21+1),'2. Inputs and results'!$C$79*(W36)," ")</f>
        <v xml:space="preserve"> </v>
      </c>
      <c r="Y37" s="4">
        <f t="shared" si="2"/>
        <v>0</v>
      </c>
      <c r="Z37" s="4" t="e">
        <f>IF(A37&lt;('2. Inputs and results'!$C$21+1),Z36+((C37-$V$6+Y37)/((1+$P$2)^A37)),NA())</f>
        <v>#N/A</v>
      </c>
      <c r="AA37" s="4" t="str">
        <f>IF(A37&lt;('2. Inputs and results'!$C$21+1),AA36+G37+I37+H37+T37-$V$6," ")</f>
        <v xml:space="preserve"> </v>
      </c>
      <c r="AB37" s="20" t="e">
        <f>IF(A37&lt;('2. Inputs and results'!$C$21+1),AA37/L37,NA())</f>
        <v>#N/A</v>
      </c>
      <c r="AC37" s="29" t="str">
        <f>IF(A37&lt;('2. Inputs and results'!$C$21+1),AC36+C37+Y37-$V$6," ")</f>
        <v xml:space="preserve"> </v>
      </c>
      <c r="AD37" s="20" t="e">
        <f>IF(A37&lt;('2. Inputs and results'!$C$21+1),AC37/L37,NA())</f>
        <v>#N/A</v>
      </c>
      <c r="AE37" t="str">
        <f>IF(A37&lt;('2. Inputs and results'!$C$21+1),-'2. Inputs and results'!$C$121*A37," ")</f>
        <v xml:space="preserve"> </v>
      </c>
      <c r="AF37" t="e">
        <f>IF(A37&lt;('2. Inputs and results'!$C$21+1),AE37/1000,NA())</f>
        <v>#N/A</v>
      </c>
    </row>
    <row r="38" spans="1:32" x14ac:dyDescent="0.25">
      <c r="A38">
        <f t="shared" si="0"/>
        <v>33</v>
      </c>
      <c r="B38" t="str">
        <f>IF(A38&lt;('2. Inputs and results'!$C$21+1),A38," ")</f>
        <v xml:space="preserve"> </v>
      </c>
      <c r="C38" s="4" t="str">
        <f>IF(A38&lt;('2. Inputs and results'!$C$21+1),'2. Inputs and results'!$C$99+'2. Inputs and results'!$C$101," ")</f>
        <v xml:space="preserve"> </v>
      </c>
      <c r="D38" s="4" t="e">
        <f>IF(A38&lt;('2. Inputs and results'!$C$21+1),D37+C38,NA())</f>
        <v>#N/A</v>
      </c>
      <c r="E38" s="4" t="str">
        <f>IF(A38&lt;('2. Inputs and results'!$C$21+1),C38/((1+$P$2)^A38)," ")</f>
        <v xml:space="preserve"> </v>
      </c>
      <c r="F38" s="4" t="str">
        <f>IF(B38&lt;('2. Inputs and results'!$C$21+1),F37+E38," ")</f>
        <v xml:space="preserve"> </v>
      </c>
      <c r="G38" s="4" t="str">
        <f>IF(A38&lt;('2. Inputs and results'!$C$21+1),G37*(1+'2. Inputs and results'!$C$46)," ")</f>
        <v xml:space="preserve"> </v>
      </c>
      <c r="H38" s="4" t="str">
        <f>IF(A38&lt;('2. Inputs and results'!$C$21+1),H37*(1+'2. Inputs and results'!$C$58)," ")</f>
        <v xml:space="preserve"> </v>
      </c>
      <c r="I38" s="4" t="str">
        <f>IF(A38&lt;('2. Inputs and results'!$C$21+1),I37*(1+'2. Inputs and results'!$C$34)," ")</f>
        <v xml:space="preserve"> </v>
      </c>
      <c r="J38" s="4" t="str">
        <f>IF(A38&lt;('2. Inputs and results'!$C$21+1),J37*(1+'2. Inputs and results'!$C$68)," ")</f>
        <v xml:space="preserve"> </v>
      </c>
      <c r="K38" s="4" t="e">
        <f>IF(A38&lt;('2. Inputs and results'!$C$21+1),K37+(G38+I38+H38+J38),NA())</f>
        <v>#N/A</v>
      </c>
      <c r="L38" s="4" t="e">
        <f>IF(A38&lt;('2. Inputs and results'!$C$21+1),L37,NA())</f>
        <v>#N/A</v>
      </c>
      <c r="M38" s="4" t="str">
        <f>IF(A38&lt;('2. Inputs and results'!$C$21+1),'2. Inputs and results'!$C$75*'2. Inputs and results'!$C$73," ")</f>
        <v xml:space="preserve"> </v>
      </c>
      <c r="N38" s="4" t="str">
        <f>IF(A38&lt;('2. Inputs and results'!$C$21+1),M38/((1+$P$2)^A38)," ")</f>
        <v xml:space="preserve"> </v>
      </c>
      <c r="O38" s="4" t="str">
        <f>IF(A38&lt;('2. Inputs and results'!$C$21+1),'2. Inputs and results'!$C$73*'2. Inputs and results'!$C$75+O37," ")</f>
        <v xml:space="preserve"> </v>
      </c>
      <c r="P38" s="4" t="str">
        <f>IF(A38&lt;('2. Inputs and results'!$C$21+1),(G38+I38+H38+J38)/((1+$P$2)^A38)," ")</f>
        <v xml:space="preserve"> </v>
      </c>
      <c r="Q38" s="4" t="str">
        <f>IF(A38&lt;('2. Inputs and results'!$C$21+1),Q37+P38," ")</f>
        <v xml:space="preserve"> </v>
      </c>
      <c r="R38" s="4" t="e">
        <f>IF(A38&lt;('2. Inputs and results'!$C$21+1),R37+G38+I38+H38+J38+T38-$V$6,NA())</f>
        <v>#N/A</v>
      </c>
      <c r="S38" s="4" t="str">
        <f>IF(A38&lt;('2. Inputs and results'!$C$21+1),'2. Inputs and results'!$C$79*(R37)," ")</f>
        <v xml:space="preserve"> </v>
      </c>
      <c r="T38" s="4">
        <f t="shared" si="1"/>
        <v>0</v>
      </c>
      <c r="U38" s="4" t="e">
        <f>IF(A38&lt;('2. Inputs and results'!$C$21+1),U37+((G38+I38+H38+J38-$V$6+T38)/((1+$P$2)^A38)),NA())</f>
        <v>#N/A</v>
      </c>
      <c r="V38" s="4" t="str">
        <f>IF(A38&lt;('2. Inputs and results'!$C$21+1),V37+('2. Inputs and results'!$C$75*'2. Inputs and results'!$C$73)," ")</f>
        <v xml:space="preserve"> </v>
      </c>
      <c r="W38" s="4" t="e">
        <f>IF(A38&lt;('2. Inputs and results'!$C$21+1),W37+C38+Y38-$V$6,NA())</f>
        <v>#N/A</v>
      </c>
      <c r="X38" s="4" t="str">
        <f>IF(A38&lt;('2. Inputs and results'!$C$21+1),'2. Inputs and results'!$C$79*(W37)," ")</f>
        <v xml:space="preserve"> </v>
      </c>
      <c r="Y38" s="4">
        <f t="shared" si="2"/>
        <v>0</v>
      </c>
      <c r="Z38" s="4" t="e">
        <f>IF(A38&lt;('2. Inputs and results'!$C$21+1),Z37+((C38-$V$6+Y38)/((1+$P$2)^A38)),NA())</f>
        <v>#N/A</v>
      </c>
      <c r="AA38" s="4" t="str">
        <f>IF(A38&lt;('2. Inputs and results'!$C$21+1),AA37+G38+I38+H38+T38-$V$6," ")</f>
        <v xml:space="preserve"> </v>
      </c>
      <c r="AB38" s="20" t="e">
        <f>IF(A38&lt;('2. Inputs and results'!$C$21+1),AA38/L38,NA())</f>
        <v>#N/A</v>
      </c>
      <c r="AC38" s="29" t="str">
        <f>IF(A38&lt;('2. Inputs and results'!$C$21+1),AC37+C38+Y38-$V$6," ")</f>
        <v xml:space="preserve"> </v>
      </c>
      <c r="AD38" s="20" t="e">
        <f>IF(A38&lt;('2. Inputs and results'!$C$21+1),AC38/L38,NA())</f>
        <v>#N/A</v>
      </c>
      <c r="AE38" t="str">
        <f>IF(A38&lt;('2. Inputs and results'!$C$21+1),-'2. Inputs and results'!$C$121*A38," ")</f>
        <v xml:space="preserve"> </v>
      </c>
      <c r="AF38" t="e">
        <f>IF(A38&lt;('2. Inputs and results'!$C$21+1),AE38/1000,NA())</f>
        <v>#N/A</v>
      </c>
    </row>
    <row r="39" spans="1:32" x14ac:dyDescent="0.25">
      <c r="A39">
        <f t="shared" si="0"/>
        <v>34</v>
      </c>
      <c r="B39" t="str">
        <f>IF(A39&lt;('2. Inputs and results'!$C$21+1),A39," ")</f>
        <v xml:space="preserve"> </v>
      </c>
      <c r="C39" s="4" t="str">
        <f>IF(A39&lt;('2. Inputs and results'!$C$21+1),'2. Inputs and results'!$C$99+'2. Inputs and results'!$C$101," ")</f>
        <v xml:space="preserve"> </v>
      </c>
      <c r="D39" s="4" t="e">
        <f>IF(A39&lt;('2. Inputs and results'!$C$21+1),D38+C39,NA())</f>
        <v>#N/A</v>
      </c>
      <c r="E39" s="4" t="str">
        <f>IF(A39&lt;('2. Inputs and results'!$C$21+1),C39/((1+$P$2)^A39)," ")</f>
        <v xml:space="preserve"> </v>
      </c>
      <c r="F39" s="4" t="str">
        <f>IF(B39&lt;('2. Inputs and results'!$C$21+1),F38+E39," ")</f>
        <v xml:space="preserve"> </v>
      </c>
      <c r="G39" s="4" t="str">
        <f>IF(A39&lt;('2. Inputs and results'!$C$21+1),G38*(1+'2. Inputs and results'!$C$46)," ")</f>
        <v xml:space="preserve"> </v>
      </c>
      <c r="H39" s="4" t="str">
        <f>IF(A39&lt;('2. Inputs and results'!$C$21+1),H38*(1+'2. Inputs and results'!$C$58)," ")</f>
        <v xml:space="preserve"> </v>
      </c>
      <c r="I39" s="4" t="str">
        <f>IF(A39&lt;('2. Inputs and results'!$C$21+1),I38*(1+'2. Inputs and results'!$C$34)," ")</f>
        <v xml:space="preserve"> </v>
      </c>
      <c r="J39" s="4" t="str">
        <f>IF(A39&lt;('2. Inputs and results'!$C$21+1),J38*(1+'2. Inputs and results'!$C$68)," ")</f>
        <v xml:space="preserve"> </v>
      </c>
      <c r="K39" s="4" t="e">
        <f>IF(A39&lt;('2. Inputs and results'!$C$21+1),K38+(G39+I39+H39+J39),NA())</f>
        <v>#N/A</v>
      </c>
      <c r="L39" s="4" t="e">
        <f>IF(A39&lt;('2. Inputs and results'!$C$21+1),L38,NA())</f>
        <v>#N/A</v>
      </c>
      <c r="M39" s="4" t="str">
        <f>IF(A39&lt;('2. Inputs and results'!$C$21+1),'2. Inputs and results'!$C$75*'2. Inputs and results'!$C$73," ")</f>
        <v xml:space="preserve"> </v>
      </c>
      <c r="N39" s="4" t="str">
        <f>IF(A39&lt;('2. Inputs and results'!$C$21+1),M39/((1+$P$2)^A39)," ")</f>
        <v xml:space="preserve"> </v>
      </c>
      <c r="O39" s="4" t="str">
        <f>IF(A39&lt;('2. Inputs and results'!$C$21+1),'2. Inputs and results'!$C$73*'2. Inputs and results'!$C$75+O38," ")</f>
        <v xml:space="preserve"> </v>
      </c>
      <c r="P39" s="4" t="str">
        <f>IF(A39&lt;('2. Inputs and results'!$C$21+1),(G39+I39+H39+J39)/((1+$P$2)^A39)," ")</f>
        <v xml:space="preserve"> </v>
      </c>
      <c r="Q39" s="4" t="str">
        <f>IF(A39&lt;('2. Inputs and results'!$C$21+1),Q38+P39," ")</f>
        <v xml:space="preserve"> </v>
      </c>
      <c r="R39" s="4" t="e">
        <f>IF(A39&lt;('2. Inputs and results'!$C$21+1),R38+G39+I39+H39+J39+T39-$V$6,NA())</f>
        <v>#N/A</v>
      </c>
      <c r="S39" s="4" t="str">
        <f>IF(A39&lt;('2. Inputs and results'!$C$21+1),'2. Inputs and results'!$C$79*(R38)," ")</f>
        <v xml:space="preserve"> </v>
      </c>
      <c r="T39" s="4">
        <f t="shared" si="1"/>
        <v>0</v>
      </c>
      <c r="U39" s="4" t="e">
        <f>IF(A39&lt;('2. Inputs and results'!$C$21+1),U38+((G39+I39+H39+J39-$V$6+T39)/((1+$P$2)^A39)),NA())</f>
        <v>#N/A</v>
      </c>
      <c r="V39" s="4" t="str">
        <f>IF(A39&lt;('2. Inputs and results'!$C$21+1),V38+('2. Inputs and results'!$C$75*'2. Inputs and results'!$C$73)," ")</f>
        <v xml:space="preserve"> </v>
      </c>
      <c r="W39" s="4" t="e">
        <f>IF(A39&lt;('2. Inputs and results'!$C$21+1),W38+C39+Y39-$V$6,NA())</f>
        <v>#N/A</v>
      </c>
      <c r="X39" s="4" t="str">
        <f>IF(A39&lt;('2. Inputs and results'!$C$21+1),'2. Inputs and results'!$C$79*(W38)," ")</f>
        <v xml:space="preserve"> </v>
      </c>
      <c r="Y39" s="4">
        <f t="shared" si="2"/>
        <v>0</v>
      </c>
      <c r="Z39" s="4" t="e">
        <f>IF(A39&lt;('2. Inputs and results'!$C$21+1),Z38+((C39-$V$6+Y39)/((1+$P$2)^A39)),NA())</f>
        <v>#N/A</v>
      </c>
      <c r="AA39" s="4" t="str">
        <f>IF(A39&lt;('2. Inputs and results'!$C$21+1),AA38+G39+I39+H39+T39-$V$6," ")</f>
        <v xml:space="preserve"> </v>
      </c>
      <c r="AB39" s="20" t="e">
        <f>IF(A39&lt;('2. Inputs and results'!$C$21+1),AA39/L39,NA())</f>
        <v>#N/A</v>
      </c>
      <c r="AC39" s="29" t="str">
        <f>IF(A39&lt;('2. Inputs and results'!$C$21+1),AC38+C39+Y39-$V$6," ")</f>
        <v xml:space="preserve"> </v>
      </c>
      <c r="AD39" s="20" t="e">
        <f>IF(A39&lt;('2. Inputs and results'!$C$21+1),AC39/L39,NA())</f>
        <v>#N/A</v>
      </c>
      <c r="AE39" t="str">
        <f>IF(A39&lt;('2. Inputs and results'!$C$21+1),-'2. Inputs and results'!$C$121*A39," ")</f>
        <v xml:space="preserve"> </v>
      </c>
      <c r="AF39" t="e">
        <f>IF(A39&lt;('2. Inputs and results'!$C$21+1),AE39/1000,NA())</f>
        <v>#N/A</v>
      </c>
    </row>
    <row r="40" spans="1:32" x14ac:dyDescent="0.25">
      <c r="A40">
        <f t="shared" si="0"/>
        <v>35</v>
      </c>
      <c r="B40" t="str">
        <f>IF(A40&lt;('2. Inputs and results'!$C$21+1),A40," ")</f>
        <v xml:space="preserve"> </v>
      </c>
      <c r="C40" s="4" t="str">
        <f>IF(A40&lt;('2. Inputs and results'!$C$21+1),'2. Inputs and results'!$C$99+'2. Inputs and results'!$C$101," ")</f>
        <v xml:space="preserve"> </v>
      </c>
      <c r="D40" s="4" t="e">
        <f>IF(A40&lt;('2. Inputs and results'!$C$21+1),D39+C40,NA())</f>
        <v>#N/A</v>
      </c>
      <c r="E40" s="4" t="str">
        <f>IF(A40&lt;('2. Inputs and results'!$C$21+1),C40/((1+$P$2)^A40)," ")</f>
        <v xml:space="preserve"> </v>
      </c>
      <c r="F40" s="4" t="str">
        <f>IF(B40&lt;('2. Inputs and results'!$C$21+1),F39+E40," ")</f>
        <v xml:space="preserve"> </v>
      </c>
      <c r="G40" s="4" t="str">
        <f>IF(A40&lt;('2. Inputs and results'!$C$21+1),G39*(1+'2. Inputs and results'!$C$46)," ")</f>
        <v xml:space="preserve"> </v>
      </c>
      <c r="H40" s="4" t="str">
        <f>IF(A40&lt;('2. Inputs and results'!$C$21+1),H39*(1+'2. Inputs and results'!$C$58)," ")</f>
        <v xml:space="preserve"> </v>
      </c>
      <c r="I40" s="4" t="str">
        <f>IF(A40&lt;('2. Inputs and results'!$C$21+1),I39*(1+'2. Inputs and results'!$C$34)," ")</f>
        <v xml:space="preserve"> </v>
      </c>
      <c r="J40" s="4" t="str">
        <f>IF(A40&lt;('2. Inputs and results'!$C$21+1),J39*(1+'2. Inputs and results'!$C$68)," ")</f>
        <v xml:space="preserve"> </v>
      </c>
      <c r="K40" s="4" t="e">
        <f>IF(A40&lt;('2. Inputs and results'!$C$21+1),K39+(G40+I40+H40+J40),NA())</f>
        <v>#N/A</v>
      </c>
      <c r="L40" s="4" t="e">
        <f>IF(A40&lt;('2. Inputs and results'!$C$21+1),L39,NA())</f>
        <v>#N/A</v>
      </c>
      <c r="M40" s="4" t="str">
        <f>IF(A40&lt;('2. Inputs and results'!$C$21+1),'2. Inputs and results'!$C$75*'2. Inputs and results'!$C$73," ")</f>
        <v xml:space="preserve"> </v>
      </c>
      <c r="N40" s="4" t="str">
        <f>IF(A40&lt;('2. Inputs and results'!$C$21+1),M40/((1+$P$2)^A40)," ")</f>
        <v xml:space="preserve"> </v>
      </c>
      <c r="O40" s="4" t="str">
        <f>IF(A40&lt;('2. Inputs and results'!$C$21+1),'2. Inputs and results'!$C$73*'2. Inputs and results'!$C$75+O39," ")</f>
        <v xml:space="preserve"> </v>
      </c>
      <c r="P40" s="4" t="str">
        <f>IF(A40&lt;('2. Inputs and results'!$C$21+1),(G40+I40+H40+J40)/((1+$P$2)^A40)," ")</f>
        <v xml:space="preserve"> </v>
      </c>
      <c r="Q40" s="4" t="str">
        <f>IF(A40&lt;('2. Inputs and results'!$C$21+1),Q39+P40," ")</f>
        <v xml:space="preserve"> </v>
      </c>
      <c r="R40" s="4" t="e">
        <f>IF(A40&lt;('2. Inputs and results'!$C$21+1),R39+G40+I40+H40+J40+T40-$V$6,NA())</f>
        <v>#N/A</v>
      </c>
      <c r="S40" s="4" t="str">
        <f>IF(A40&lt;('2. Inputs and results'!$C$21+1),'2. Inputs and results'!$C$79*(R39)," ")</f>
        <v xml:space="preserve"> </v>
      </c>
      <c r="T40" s="4">
        <f t="shared" si="1"/>
        <v>0</v>
      </c>
      <c r="U40" s="4" t="e">
        <f>IF(A40&lt;('2. Inputs and results'!$C$21+1),U39+((G40+I40+H40+J40-$V$6+T40)/((1+$P$2)^A40)),NA())</f>
        <v>#N/A</v>
      </c>
      <c r="V40" s="4" t="str">
        <f>IF(A40&lt;('2. Inputs and results'!$C$21+1),V39+('2. Inputs and results'!$C$75*'2. Inputs and results'!$C$73)," ")</f>
        <v xml:space="preserve"> </v>
      </c>
      <c r="W40" s="4" t="e">
        <f>IF(A40&lt;('2. Inputs and results'!$C$21+1),W39+C40+Y40-$V$6,NA())</f>
        <v>#N/A</v>
      </c>
      <c r="X40" s="4" t="str">
        <f>IF(A40&lt;('2. Inputs and results'!$C$21+1),'2. Inputs and results'!$C$79*(W39)," ")</f>
        <v xml:space="preserve"> </v>
      </c>
      <c r="Y40" s="4">
        <f t="shared" si="2"/>
        <v>0</v>
      </c>
      <c r="Z40" s="4" t="e">
        <f>IF(A40&lt;('2. Inputs and results'!$C$21+1),Z39+((C40-$V$6+Y40)/((1+$P$2)^A40)),NA())</f>
        <v>#N/A</v>
      </c>
      <c r="AA40" s="4" t="str">
        <f>IF(A40&lt;('2. Inputs and results'!$C$21+1),AA39+G40+I40+H40+T40-$V$6," ")</f>
        <v xml:space="preserve"> </v>
      </c>
      <c r="AB40" s="20" t="e">
        <f>IF(A40&lt;('2. Inputs and results'!$C$21+1),AA40/L40,NA())</f>
        <v>#N/A</v>
      </c>
      <c r="AC40" s="29" t="str">
        <f>IF(A40&lt;('2. Inputs and results'!$C$21+1),AC39+C40+Y40-$V$6," ")</f>
        <v xml:space="preserve"> </v>
      </c>
      <c r="AD40" s="20" t="e">
        <f>IF(A40&lt;('2. Inputs and results'!$C$21+1),AC40/L40,NA())</f>
        <v>#N/A</v>
      </c>
      <c r="AE40" t="str">
        <f>IF(A40&lt;('2. Inputs and results'!$C$21+1),-'2. Inputs and results'!$C$121*A40," ")</f>
        <v xml:space="preserve"> </v>
      </c>
      <c r="AF40" t="e">
        <f>IF(A40&lt;('2. Inputs and results'!$C$21+1),AE40/1000,NA())</f>
        <v>#N/A</v>
      </c>
    </row>
    <row r="41" spans="1:32" x14ac:dyDescent="0.25">
      <c r="A41">
        <f t="shared" si="0"/>
        <v>36</v>
      </c>
      <c r="B41" t="str">
        <f>IF(A41&lt;('2. Inputs and results'!$C$21+1),A41," ")</f>
        <v xml:space="preserve"> </v>
      </c>
      <c r="C41" s="4" t="str">
        <f>IF(A41&lt;('2. Inputs and results'!$C$21+1),'2. Inputs and results'!$C$99+'2. Inputs and results'!$C$101," ")</f>
        <v xml:space="preserve"> </v>
      </c>
      <c r="D41" s="4" t="e">
        <f>IF(A41&lt;('2. Inputs and results'!$C$21+1),D40+C41,NA())</f>
        <v>#N/A</v>
      </c>
      <c r="E41" s="4" t="str">
        <f>IF(A41&lt;('2. Inputs and results'!$C$21+1),C41/((1+$P$2)^A41)," ")</f>
        <v xml:space="preserve"> </v>
      </c>
      <c r="F41" s="4" t="str">
        <f>IF(B41&lt;('2. Inputs and results'!$C$21+1),F40+E41," ")</f>
        <v xml:space="preserve"> </v>
      </c>
      <c r="G41" s="4" t="str">
        <f>IF(A41&lt;('2. Inputs and results'!$C$21+1),G40*(1+'2. Inputs and results'!$C$46)," ")</f>
        <v xml:space="preserve"> </v>
      </c>
      <c r="H41" s="4" t="str">
        <f>IF(A41&lt;('2. Inputs and results'!$C$21+1),H40*(1+'2. Inputs and results'!$C$58)," ")</f>
        <v xml:space="preserve"> </v>
      </c>
      <c r="I41" s="4" t="str">
        <f>IF(A41&lt;('2. Inputs and results'!$C$21+1),I40*(1+'2. Inputs and results'!$C$34)," ")</f>
        <v xml:space="preserve"> </v>
      </c>
      <c r="J41" s="4" t="str">
        <f>IF(A41&lt;('2. Inputs and results'!$C$21+1),J40*(1+'2. Inputs and results'!$C$68)," ")</f>
        <v xml:space="preserve"> </v>
      </c>
      <c r="K41" s="4" t="e">
        <f>IF(A41&lt;('2. Inputs and results'!$C$21+1),K40+(G41+I41+H41+J41),NA())</f>
        <v>#N/A</v>
      </c>
      <c r="L41" s="4" t="e">
        <f>IF(A41&lt;('2. Inputs and results'!$C$21+1),L40,NA())</f>
        <v>#N/A</v>
      </c>
      <c r="M41" s="4" t="str">
        <f>IF(A41&lt;('2. Inputs and results'!$C$21+1),'2. Inputs and results'!$C$75*'2. Inputs and results'!$C$73," ")</f>
        <v xml:space="preserve"> </v>
      </c>
      <c r="N41" s="4" t="str">
        <f>IF(A41&lt;('2. Inputs and results'!$C$21+1),M41/((1+$P$2)^A41)," ")</f>
        <v xml:space="preserve"> </v>
      </c>
      <c r="O41" s="4" t="str">
        <f>IF(A41&lt;('2. Inputs and results'!$C$21+1),'2. Inputs and results'!$C$73*'2. Inputs and results'!$C$75+O40," ")</f>
        <v xml:space="preserve"> </v>
      </c>
      <c r="P41" s="4" t="str">
        <f>IF(A41&lt;('2. Inputs and results'!$C$21+1),(G41+I41+H41+J41)/((1+$P$2)^A41)," ")</f>
        <v xml:space="preserve"> </v>
      </c>
      <c r="Q41" s="4" t="str">
        <f>IF(A41&lt;('2. Inputs and results'!$C$21+1),Q40+P41," ")</f>
        <v xml:space="preserve"> </v>
      </c>
      <c r="R41" s="4" t="e">
        <f>IF(A41&lt;('2. Inputs and results'!$C$21+1),R40+G41+I41+H41+J41+T41-$V$6,NA())</f>
        <v>#N/A</v>
      </c>
      <c r="S41" s="4" t="str">
        <f>IF(A41&lt;('2. Inputs and results'!$C$21+1),'2. Inputs and results'!$C$79*(R40)," ")</f>
        <v xml:space="preserve"> </v>
      </c>
      <c r="T41" s="4">
        <f t="shared" si="1"/>
        <v>0</v>
      </c>
      <c r="U41" s="4" t="e">
        <f>IF(A41&lt;('2. Inputs and results'!$C$21+1),U40+((G41+I41+H41+J41-$V$6+T41)/((1+$P$2)^A41)),NA())</f>
        <v>#N/A</v>
      </c>
      <c r="V41" s="4" t="str">
        <f>IF(A41&lt;('2. Inputs and results'!$C$21+1),V40+('2. Inputs and results'!$C$75*'2. Inputs and results'!$C$73)," ")</f>
        <v xml:space="preserve"> </v>
      </c>
      <c r="W41" s="4" t="e">
        <f>IF(A41&lt;('2. Inputs and results'!$C$21+1),W40+C41+Y41-$V$6,NA())</f>
        <v>#N/A</v>
      </c>
      <c r="X41" s="4" t="str">
        <f>IF(A41&lt;('2. Inputs and results'!$C$21+1),'2. Inputs and results'!$C$79*(W40)," ")</f>
        <v xml:space="preserve"> </v>
      </c>
      <c r="Y41" s="4">
        <f t="shared" si="2"/>
        <v>0</v>
      </c>
      <c r="Z41" s="4" t="e">
        <f>IF(A41&lt;('2. Inputs and results'!$C$21+1),Z40+((C41-$V$6+Y41)/((1+$P$2)^A41)),NA())</f>
        <v>#N/A</v>
      </c>
      <c r="AA41" s="4" t="str">
        <f>IF(A41&lt;('2. Inputs and results'!$C$21+1),AA40+G41+I41+H41+T41-$V$6," ")</f>
        <v xml:space="preserve"> </v>
      </c>
      <c r="AB41" s="20" t="e">
        <f>IF(A41&lt;('2. Inputs and results'!$C$21+1),AA41/L41,NA())</f>
        <v>#N/A</v>
      </c>
      <c r="AC41" s="29" t="str">
        <f>IF(A41&lt;('2. Inputs and results'!$C$21+1),AC40+C41+Y41-$V$6," ")</f>
        <v xml:space="preserve"> </v>
      </c>
      <c r="AD41" s="20" t="e">
        <f>IF(A41&lt;('2. Inputs and results'!$C$21+1),AC41/L41,NA())</f>
        <v>#N/A</v>
      </c>
      <c r="AE41" t="str">
        <f>IF(A41&lt;('2. Inputs and results'!$C$21+1),-'2. Inputs and results'!$C$121*A41," ")</f>
        <v xml:space="preserve"> </v>
      </c>
      <c r="AF41" t="e">
        <f>IF(A41&lt;('2. Inputs and results'!$C$21+1),AE41/1000,NA())</f>
        <v>#N/A</v>
      </c>
    </row>
    <row r="42" spans="1:32" x14ac:dyDescent="0.25">
      <c r="A42">
        <f t="shared" si="0"/>
        <v>37</v>
      </c>
      <c r="B42" t="str">
        <f>IF(A42&lt;('2. Inputs and results'!$C$21+1),A42," ")</f>
        <v xml:space="preserve"> </v>
      </c>
      <c r="C42" s="4" t="str">
        <f>IF(A42&lt;('2. Inputs and results'!$C$21+1),'2. Inputs and results'!$C$99+'2. Inputs and results'!$C$101," ")</f>
        <v xml:space="preserve"> </v>
      </c>
      <c r="D42" s="4" t="e">
        <f>IF(A42&lt;('2. Inputs and results'!$C$21+1),D41+C42,NA())</f>
        <v>#N/A</v>
      </c>
      <c r="E42" s="4" t="str">
        <f>IF(A42&lt;('2. Inputs and results'!$C$21+1),C42/((1+$P$2)^A42)," ")</f>
        <v xml:space="preserve"> </v>
      </c>
      <c r="F42" s="4" t="str">
        <f>IF(B42&lt;('2. Inputs and results'!$C$21+1),F41+E42," ")</f>
        <v xml:space="preserve"> </v>
      </c>
      <c r="G42" s="4" t="str">
        <f>IF(A42&lt;('2. Inputs and results'!$C$21+1),G41*(1+'2. Inputs and results'!$C$46)," ")</f>
        <v xml:space="preserve"> </v>
      </c>
      <c r="H42" s="4" t="str">
        <f>IF(A42&lt;('2. Inputs and results'!$C$21+1),H41*(1+'2. Inputs and results'!$C$58)," ")</f>
        <v xml:space="preserve"> </v>
      </c>
      <c r="I42" s="4" t="str">
        <f>IF(A42&lt;('2. Inputs and results'!$C$21+1),I41*(1+'2. Inputs and results'!$C$34)," ")</f>
        <v xml:space="preserve"> </v>
      </c>
      <c r="J42" s="4" t="str">
        <f>IF(A42&lt;('2. Inputs and results'!$C$21+1),J41*(1+'2. Inputs and results'!$C$68)," ")</f>
        <v xml:space="preserve"> </v>
      </c>
      <c r="K42" s="4" t="e">
        <f>IF(A42&lt;('2. Inputs and results'!$C$21+1),K41+(G42+I42+H42+J42),NA())</f>
        <v>#N/A</v>
      </c>
      <c r="L42" s="4" t="e">
        <f>IF(A42&lt;('2. Inputs and results'!$C$21+1),L41,NA())</f>
        <v>#N/A</v>
      </c>
      <c r="M42" s="4" t="str">
        <f>IF(A42&lt;('2. Inputs and results'!$C$21+1),'2. Inputs and results'!$C$75*'2. Inputs and results'!$C$73," ")</f>
        <v xml:space="preserve"> </v>
      </c>
      <c r="N42" s="4" t="str">
        <f>IF(A42&lt;('2. Inputs and results'!$C$21+1),M42/((1+$P$2)^A42)," ")</f>
        <v xml:space="preserve"> </v>
      </c>
      <c r="O42" s="4" t="str">
        <f>IF(A42&lt;('2. Inputs and results'!$C$21+1),'2. Inputs and results'!$C$73*'2. Inputs and results'!$C$75+O41," ")</f>
        <v xml:space="preserve"> </v>
      </c>
      <c r="P42" s="4" t="str">
        <f>IF(A42&lt;('2. Inputs and results'!$C$21+1),(G42+I42+H42+J42)/((1+$P$2)^A42)," ")</f>
        <v xml:space="preserve"> </v>
      </c>
      <c r="Q42" s="4" t="str">
        <f>IF(A42&lt;('2. Inputs and results'!$C$21+1),Q41+P42," ")</f>
        <v xml:space="preserve"> </v>
      </c>
      <c r="R42" s="4" t="e">
        <f>IF(A42&lt;('2. Inputs and results'!$C$21+1),R41+G42+I42+H42+J42+T42-$V$6,NA())</f>
        <v>#N/A</v>
      </c>
      <c r="S42" s="4" t="str">
        <f>IF(A42&lt;('2. Inputs and results'!$C$21+1),'2. Inputs and results'!$C$79*(R41)," ")</f>
        <v xml:space="preserve"> </v>
      </c>
      <c r="T42" s="4">
        <f t="shared" si="1"/>
        <v>0</v>
      </c>
      <c r="U42" s="4" t="e">
        <f>IF(A42&lt;('2. Inputs and results'!$C$21+1),U41+((G42+I42+H42+J42-$V$6+T42)/((1+$P$2)^A42)),NA())</f>
        <v>#N/A</v>
      </c>
      <c r="V42" s="4" t="str">
        <f>IF(A42&lt;('2. Inputs and results'!$C$21+1),V41+('2. Inputs and results'!$C$75*'2. Inputs and results'!$C$73)," ")</f>
        <v xml:space="preserve"> </v>
      </c>
      <c r="W42" s="4" t="e">
        <f>IF(A42&lt;('2. Inputs and results'!$C$21+1),W41+C42+Y42-$V$6,NA())</f>
        <v>#N/A</v>
      </c>
      <c r="X42" s="4" t="str">
        <f>IF(A42&lt;('2. Inputs and results'!$C$21+1),'2. Inputs and results'!$C$79*(W41)," ")</f>
        <v xml:space="preserve"> </v>
      </c>
      <c r="Y42" s="4">
        <f t="shared" si="2"/>
        <v>0</v>
      </c>
      <c r="Z42" s="4" t="e">
        <f>IF(A42&lt;('2. Inputs and results'!$C$21+1),Z41+((C42-$V$6+Y42)/((1+$P$2)^A42)),NA())</f>
        <v>#N/A</v>
      </c>
      <c r="AA42" s="4" t="str">
        <f>IF(A42&lt;('2. Inputs and results'!$C$21+1),AA41+G42+I42+H42+T42-$V$6," ")</f>
        <v xml:space="preserve"> </v>
      </c>
      <c r="AB42" s="20" t="e">
        <f>IF(A42&lt;('2. Inputs and results'!$C$21+1),AA42/L42,NA())</f>
        <v>#N/A</v>
      </c>
      <c r="AC42" s="29" t="str">
        <f>IF(A42&lt;('2. Inputs and results'!$C$21+1),AC41+C42+Y42-$V$6," ")</f>
        <v xml:space="preserve"> </v>
      </c>
      <c r="AD42" s="20" t="e">
        <f>IF(A42&lt;('2. Inputs and results'!$C$21+1),AC42/L42,NA())</f>
        <v>#N/A</v>
      </c>
      <c r="AE42" t="str">
        <f>IF(A42&lt;('2. Inputs and results'!$C$21+1),-'2. Inputs and results'!$C$121*A42," ")</f>
        <v xml:space="preserve"> </v>
      </c>
      <c r="AF42" t="e">
        <f>IF(A42&lt;('2. Inputs and results'!$C$21+1),AE42/1000,NA())</f>
        <v>#N/A</v>
      </c>
    </row>
    <row r="43" spans="1:32" x14ac:dyDescent="0.25">
      <c r="A43">
        <f t="shared" si="0"/>
        <v>38</v>
      </c>
      <c r="B43" t="str">
        <f>IF(A43&lt;('2. Inputs and results'!$C$21+1),A43," ")</f>
        <v xml:space="preserve"> </v>
      </c>
      <c r="C43" s="4" t="str">
        <f>IF(A43&lt;('2. Inputs and results'!$C$21+1),'2. Inputs and results'!$C$99+'2. Inputs and results'!$C$101," ")</f>
        <v xml:space="preserve"> </v>
      </c>
      <c r="D43" s="4" t="e">
        <f>IF(A43&lt;('2. Inputs and results'!$C$21+1),D42+C43,NA())</f>
        <v>#N/A</v>
      </c>
      <c r="E43" s="4" t="str">
        <f>IF(A43&lt;('2. Inputs and results'!$C$21+1),C43/((1+$P$2)^A43)," ")</f>
        <v xml:space="preserve"> </v>
      </c>
      <c r="F43" s="4" t="str">
        <f>IF(B43&lt;('2. Inputs and results'!$C$21+1),F42+E43," ")</f>
        <v xml:space="preserve"> </v>
      </c>
      <c r="G43" s="4" t="str">
        <f>IF(A43&lt;('2. Inputs and results'!$C$21+1),G42*(1+'2. Inputs and results'!$C$46)," ")</f>
        <v xml:space="preserve"> </v>
      </c>
      <c r="H43" s="4" t="str">
        <f>IF(A43&lt;('2. Inputs and results'!$C$21+1),H42*(1+'2. Inputs and results'!$C$58)," ")</f>
        <v xml:space="preserve"> </v>
      </c>
      <c r="I43" s="4" t="str">
        <f>IF(A43&lt;('2. Inputs and results'!$C$21+1),I42*(1+'2. Inputs and results'!$C$34)," ")</f>
        <v xml:space="preserve"> </v>
      </c>
      <c r="J43" s="4" t="str">
        <f>IF(A43&lt;('2. Inputs and results'!$C$21+1),J42*(1+'2. Inputs and results'!$C$68)," ")</f>
        <v xml:space="preserve"> </v>
      </c>
      <c r="K43" s="4" t="e">
        <f>IF(A43&lt;('2. Inputs and results'!$C$21+1),K42+(G43+I43+H43+J43),NA())</f>
        <v>#N/A</v>
      </c>
      <c r="L43" s="4" t="e">
        <f>IF(A43&lt;('2. Inputs and results'!$C$21+1),L42,NA())</f>
        <v>#N/A</v>
      </c>
      <c r="M43" s="4" t="str">
        <f>IF(A43&lt;('2. Inputs and results'!$C$21+1),'2. Inputs and results'!$C$75*'2. Inputs and results'!$C$73," ")</f>
        <v xml:space="preserve"> </v>
      </c>
      <c r="N43" s="4" t="str">
        <f>IF(A43&lt;('2. Inputs and results'!$C$21+1),M43/((1+$P$2)^A43)," ")</f>
        <v xml:space="preserve"> </v>
      </c>
      <c r="O43" s="4" t="str">
        <f>IF(A43&lt;('2. Inputs and results'!$C$21+1),'2. Inputs and results'!$C$73*'2. Inputs and results'!$C$75+O42," ")</f>
        <v xml:space="preserve"> </v>
      </c>
      <c r="P43" s="4" t="str">
        <f>IF(A43&lt;('2. Inputs and results'!$C$21+1),(G43+I43+H43+J43)/((1+$P$2)^A43)," ")</f>
        <v xml:space="preserve"> </v>
      </c>
      <c r="Q43" s="4" t="str">
        <f>IF(A43&lt;('2. Inputs and results'!$C$21+1),Q42+P43," ")</f>
        <v xml:space="preserve"> </v>
      </c>
      <c r="R43" s="4" t="e">
        <f>IF(A43&lt;('2. Inputs and results'!$C$21+1),R42+G43+I43+H43+J43+T43-$V$6,NA())</f>
        <v>#N/A</v>
      </c>
      <c r="S43" s="4" t="str">
        <f>IF(A43&lt;('2. Inputs and results'!$C$21+1),'2. Inputs and results'!$C$79*(R42)," ")</f>
        <v xml:space="preserve"> </v>
      </c>
      <c r="T43" s="4">
        <f t="shared" si="1"/>
        <v>0</v>
      </c>
      <c r="U43" s="4" t="e">
        <f>IF(A43&lt;('2. Inputs and results'!$C$21+1),U42+((G43+I43+H43+J43-$V$6+T43)/((1+$P$2)^A43)),NA())</f>
        <v>#N/A</v>
      </c>
      <c r="V43" s="4" t="str">
        <f>IF(A43&lt;('2. Inputs and results'!$C$21+1),V42+('2. Inputs and results'!$C$75*'2. Inputs and results'!$C$73)," ")</f>
        <v xml:space="preserve"> </v>
      </c>
      <c r="W43" s="4" t="e">
        <f>IF(A43&lt;('2. Inputs and results'!$C$21+1),W42+C43+Y43-$V$6,NA())</f>
        <v>#N/A</v>
      </c>
      <c r="X43" s="4" t="str">
        <f>IF(A43&lt;('2. Inputs and results'!$C$21+1),'2. Inputs and results'!$C$79*(W42)," ")</f>
        <v xml:space="preserve"> </v>
      </c>
      <c r="Y43" s="4">
        <f t="shared" si="2"/>
        <v>0</v>
      </c>
      <c r="Z43" s="4" t="e">
        <f>IF(A43&lt;('2. Inputs and results'!$C$21+1),Z42+((C43-$V$6+Y43)/((1+$P$2)^A43)),NA())</f>
        <v>#N/A</v>
      </c>
      <c r="AA43" s="4" t="str">
        <f>IF(A43&lt;('2. Inputs and results'!$C$21+1),AA42+G43+I43+H43+T43-$V$6," ")</f>
        <v xml:space="preserve"> </v>
      </c>
      <c r="AB43" s="20" t="e">
        <f>IF(A43&lt;('2. Inputs and results'!$C$21+1),AA43/L43,NA())</f>
        <v>#N/A</v>
      </c>
      <c r="AC43" s="29" t="str">
        <f>IF(A43&lt;('2. Inputs and results'!$C$21+1),AC42+C43+Y43-$V$6," ")</f>
        <v xml:space="preserve"> </v>
      </c>
      <c r="AD43" s="20" t="e">
        <f>IF(A43&lt;('2. Inputs and results'!$C$21+1),AC43/L43,NA())</f>
        <v>#N/A</v>
      </c>
      <c r="AE43" t="str">
        <f>IF(A43&lt;('2. Inputs and results'!$C$21+1),-'2. Inputs and results'!$C$121*A43," ")</f>
        <v xml:space="preserve"> </v>
      </c>
      <c r="AF43" t="e">
        <f>IF(A43&lt;('2. Inputs and results'!$C$21+1),AE43/1000,NA())</f>
        <v>#N/A</v>
      </c>
    </row>
    <row r="44" spans="1:32" x14ac:dyDescent="0.25">
      <c r="A44">
        <f t="shared" si="0"/>
        <v>39</v>
      </c>
      <c r="B44" t="str">
        <f>IF(A44&lt;('2. Inputs and results'!$C$21+1),A44," ")</f>
        <v xml:space="preserve"> </v>
      </c>
      <c r="C44" s="4" t="str">
        <f>IF(A44&lt;('2. Inputs and results'!$C$21+1),'2. Inputs and results'!$C$99+'2. Inputs and results'!$C$101," ")</f>
        <v xml:space="preserve"> </v>
      </c>
      <c r="D44" s="4" t="e">
        <f>IF(A44&lt;('2. Inputs and results'!$C$21+1),D43+C44,NA())</f>
        <v>#N/A</v>
      </c>
      <c r="E44" s="4" t="str">
        <f>IF(A44&lt;('2. Inputs and results'!$C$21+1),C44/((1+$P$2)^A44)," ")</f>
        <v xml:space="preserve"> </v>
      </c>
      <c r="F44" s="4" t="str">
        <f>IF(B44&lt;('2. Inputs and results'!$C$21+1),F43+E44," ")</f>
        <v xml:space="preserve"> </v>
      </c>
      <c r="G44" s="4" t="str">
        <f>IF(A44&lt;('2. Inputs and results'!$C$21+1),G43*(1+'2. Inputs and results'!$C$46)," ")</f>
        <v xml:space="preserve"> </v>
      </c>
      <c r="H44" s="4" t="str">
        <f>IF(A44&lt;('2. Inputs and results'!$C$21+1),H43*(1+'2. Inputs and results'!$C$58)," ")</f>
        <v xml:space="preserve"> </v>
      </c>
      <c r="I44" s="4" t="str">
        <f>IF(A44&lt;('2. Inputs and results'!$C$21+1),I43*(1+'2. Inputs and results'!$C$34)," ")</f>
        <v xml:space="preserve"> </v>
      </c>
      <c r="J44" s="4" t="str">
        <f>IF(A44&lt;('2. Inputs and results'!$C$21+1),J43*(1+'2. Inputs and results'!$C$68)," ")</f>
        <v xml:space="preserve"> </v>
      </c>
      <c r="K44" s="4" t="e">
        <f>IF(A44&lt;('2. Inputs and results'!$C$21+1),K43+(G44+I44+H44+J44),NA())</f>
        <v>#N/A</v>
      </c>
      <c r="L44" s="4" t="e">
        <f>IF(A44&lt;('2. Inputs and results'!$C$21+1),L43,NA())</f>
        <v>#N/A</v>
      </c>
      <c r="M44" s="4" t="str">
        <f>IF(A44&lt;('2. Inputs and results'!$C$21+1),'2. Inputs and results'!$C$75*'2. Inputs and results'!$C$73," ")</f>
        <v xml:space="preserve"> </v>
      </c>
      <c r="N44" s="4" t="str">
        <f>IF(A44&lt;('2. Inputs and results'!$C$21+1),M44/((1+$P$2)^A44)," ")</f>
        <v xml:space="preserve"> </v>
      </c>
      <c r="O44" s="4" t="str">
        <f>IF(A44&lt;('2. Inputs and results'!$C$21+1),'2. Inputs and results'!$C$73*'2. Inputs and results'!$C$75+O43," ")</f>
        <v xml:space="preserve"> </v>
      </c>
      <c r="P44" s="4" t="str">
        <f>IF(A44&lt;('2. Inputs and results'!$C$21+1),(G44+I44+H44+J44)/((1+$P$2)^A44)," ")</f>
        <v xml:space="preserve"> </v>
      </c>
      <c r="Q44" s="4" t="str">
        <f>IF(A44&lt;('2. Inputs and results'!$C$21+1),Q43+P44," ")</f>
        <v xml:space="preserve"> </v>
      </c>
      <c r="R44" s="4" t="e">
        <f>IF(A44&lt;('2. Inputs and results'!$C$21+1),R43+G44+I44+H44+J44+T44-$V$6,NA())</f>
        <v>#N/A</v>
      </c>
      <c r="S44" s="4" t="str">
        <f>IF(A44&lt;('2. Inputs and results'!$C$21+1),'2. Inputs and results'!$C$79*(R43)," ")</f>
        <v xml:space="preserve"> </v>
      </c>
      <c r="T44" s="4">
        <f t="shared" si="1"/>
        <v>0</v>
      </c>
      <c r="U44" s="4" t="e">
        <f>IF(A44&lt;('2. Inputs and results'!$C$21+1),U43+((G44+I44+H44+J44-$V$6+T44)/((1+$P$2)^A44)),NA())</f>
        <v>#N/A</v>
      </c>
      <c r="V44" s="4" t="str">
        <f>IF(A44&lt;('2. Inputs and results'!$C$21+1),V43+('2. Inputs and results'!$C$75*'2. Inputs and results'!$C$73)," ")</f>
        <v xml:space="preserve"> </v>
      </c>
      <c r="W44" s="4" t="e">
        <f>IF(A44&lt;('2. Inputs and results'!$C$21+1),W43+C44+Y44-$V$6,NA())</f>
        <v>#N/A</v>
      </c>
      <c r="X44" s="4" t="str">
        <f>IF(A44&lt;('2. Inputs and results'!$C$21+1),'2. Inputs and results'!$C$79*(W43)," ")</f>
        <v xml:space="preserve"> </v>
      </c>
      <c r="Y44" s="4">
        <f t="shared" si="2"/>
        <v>0</v>
      </c>
      <c r="Z44" s="4" t="e">
        <f>IF(A44&lt;('2. Inputs and results'!$C$21+1),Z43+((C44-$V$6+Y44)/((1+$P$2)^A44)),NA())</f>
        <v>#N/A</v>
      </c>
      <c r="AA44" s="4" t="str">
        <f>IF(A44&lt;('2. Inputs and results'!$C$21+1),AA43+G44+I44+H44+T44-$V$6," ")</f>
        <v xml:space="preserve"> </v>
      </c>
      <c r="AB44" s="20" t="e">
        <f>IF(A44&lt;('2. Inputs and results'!$C$21+1),AA44/L44,NA())</f>
        <v>#N/A</v>
      </c>
      <c r="AC44" s="29" t="str">
        <f>IF(A44&lt;('2. Inputs and results'!$C$21+1),AC43+C44+Y44-$V$6," ")</f>
        <v xml:space="preserve"> </v>
      </c>
      <c r="AD44" s="20" t="e">
        <f>IF(A44&lt;('2. Inputs and results'!$C$21+1),AC44/L44,NA())</f>
        <v>#N/A</v>
      </c>
      <c r="AE44" t="str">
        <f>IF(A44&lt;('2. Inputs and results'!$C$21+1),-'2. Inputs and results'!$C$121*A44," ")</f>
        <v xml:space="preserve"> </v>
      </c>
      <c r="AF44" t="e">
        <f>IF(A44&lt;('2. Inputs and results'!$C$21+1),AE44/1000,NA())</f>
        <v>#N/A</v>
      </c>
    </row>
    <row r="45" spans="1:32" x14ac:dyDescent="0.25">
      <c r="A45">
        <f t="shared" si="0"/>
        <v>40</v>
      </c>
      <c r="B45" t="str">
        <f>IF(A45&lt;('2. Inputs and results'!$C$21+1),A45," ")</f>
        <v xml:space="preserve"> </v>
      </c>
      <c r="C45" s="4" t="str">
        <f>IF(A45&lt;('2. Inputs and results'!$C$21+1),'2. Inputs and results'!$C$99+'2. Inputs and results'!$C$101," ")</f>
        <v xml:space="preserve"> </v>
      </c>
      <c r="D45" s="4" t="e">
        <f>IF(A45&lt;('2. Inputs and results'!$C$21+1),D44+C45,NA())</f>
        <v>#N/A</v>
      </c>
      <c r="E45" s="4" t="str">
        <f>IF(A45&lt;('2. Inputs and results'!$C$21+1),C45/((1+$P$2)^A45)," ")</f>
        <v xml:space="preserve"> </v>
      </c>
      <c r="F45" s="4" t="str">
        <f>IF(B45&lt;('2. Inputs and results'!$C$21+1),F44+E45," ")</f>
        <v xml:space="preserve"> </v>
      </c>
      <c r="G45" s="4" t="str">
        <f>IF(A45&lt;('2. Inputs and results'!$C$21+1),G44*(1+'2. Inputs and results'!$C$46)," ")</f>
        <v xml:space="preserve"> </v>
      </c>
      <c r="H45" s="4" t="str">
        <f>IF(A45&lt;('2. Inputs and results'!$C$21+1),H44*(1+'2. Inputs and results'!$C$58)," ")</f>
        <v xml:space="preserve"> </v>
      </c>
      <c r="I45" s="4" t="str">
        <f>IF(A45&lt;('2. Inputs and results'!$C$21+1),I44*(1+'2. Inputs and results'!$C$34)," ")</f>
        <v xml:space="preserve"> </v>
      </c>
      <c r="J45" s="4" t="str">
        <f>IF(A45&lt;('2. Inputs and results'!$C$21+1),J44*(1+'2. Inputs and results'!$C$68)," ")</f>
        <v xml:space="preserve"> </v>
      </c>
      <c r="K45" s="4" t="e">
        <f>IF(A45&lt;('2. Inputs and results'!$C$21+1),K44+(G45+I45+H45+J45),NA())</f>
        <v>#N/A</v>
      </c>
      <c r="L45" s="4" t="e">
        <f>IF(A45&lt;('2. Inputs and results'!$C$21+1),L44,NA())</f>
        <v>#N/A</v>
      </c>
      <c r="M45" s="4" t="str">
        <f>IF(A45&lt;('2. Inputs and results'!$C$21+1),'2. Inputs and results'!$C$75*'2. Inputs and results'!$C$73," ")</f>
        <v xml:space="preserve"> </v>
      </c>
      <c r="N45" s="4" t="str">
        <f>IF(A45&lt;('2. Inputs and results'!$C$21+1),M45/((1+$P$2)^A45)," ")</f>
        <v xml:space="preserve"> </v>
      </c>
      <c r="O45" s="4" t="str">
        <f>IF(A45&lt;('2. Inputs and results'!$C$21+1),'2. Inputs and results'!$C$73*'2. Inputs and results'!$C$75+O44," ")</f>
        <v xml:space="preserve"> </v>
      </c>
      <c r="P45" s="4" t="str">
        <f>IF(A45&lt;('2. Inputs and results'!$C$21+1),(G45+I45+H45+J45)/((1+$P$2)^A45)," ")</f>
        <v xml:space="preserve"> </v>
      </c>
      <c r="Q45" s="4" t="str">
        <f>IF(A45&lt;('2. Inputs and results'!$C$21+1),Q44+P45," ")</f>
        <v xml:space="preserve"> </v>
      </c>
      <c r="R45" s="4" t="e">
        <f>IF(A45&lt;('2. Inputs and results'!$C$21+1),R44+G45+I45+H45+J45+T45-$V$6,NA())</f>
        <v>#N/A</v>
      </c>
      <c r="S45" s="4" t="str">
        <f>IF(A45&lt;('2. Inputs and results'!$C$21+1),'2. Inputs and results'!$C$79*(R44)," ")</f>
        <v xml:space="preserve"> </v>
      </c>
      <c r="T45" s="4">
        <f t="shared" si="1"/>
        <v>0</v>
      </c>
      <c r="U45" s="4" t="e">
        <f>IF(A45&lt;('2. Inputs and results'!$C$21+1),U44+((G45+I45+H45+J45-$V$6+T45)/((1+$P$2)^A45)),NA())</f>
        <v>#N/A</v>
      </c>
      <c r="V45" s="4" t="str">
        <f>IF(A45&lt;('2. Inputs and results'!$C$21+1),V44+('2. Inputs and results'!$C$75*'2. Inputs and results'!$C$73)," ")</f>
        <v xml:space="preserve"> </v>
      </c>
      <c r="W45" s="4" t="e">
        <f>IF(A45&lt;('2. Inputs and results'!$C$21+1),W44+C45+Y45-$V$6,NA())</f>
        <v>#N/A</v>
      </c>
      <c r="X45" s="4" t="str">
        <f>IF(A45&lt;('2. Inputs and results'!$C$21+1),'2. Inputs and results'!$C$79*(W44)," ")</f>
        <v xml:space="preserve"> </v>
      </c>
      <c r="Y45" s="4">
        <f t="shared" si="2"/>
        <v>0</v>
      </c>
      <c r="Z45" s="4" t="e">
        <f>IF(A45&lt;('2. Inputs and results'!$C$21+1),Z44+((C45-$V$6+Y45)/((1+$P$2)^A45)),NA())</f>
        <v>#N/A</v>
      </c>
      <c r="AA45" s="4" t="str">
        <f>IF(A45&lt;('2. Inputs and results'!$C$21+1),AA44+G45+I45+H45+T45-$V$6," ")</f>
        <v xml:space="preserve"> </v>
      </c>
      <c r="AB45" s="20" t="e">
        <f>IF(A45&lt;('2. Inputs and results'!$C$21+1),AA45/L45,NA())</f>
        <v>#N/A</v>
      </c>
      <c r="AC45" s="29" t="str">
        <f>IF(A45&lt;('2. Inputs and results'!$C$21+1),AC44+C45+Y45-$V$6," ")</f>
        <v xml:space="preserve"> </v>
      </c>
      <c r="AD45" s="20" t="e">
        <f>IF(A45&lt;('2. Inputs and results'!$C$21+1),AC45/L45,NA())</f>
        <v>#N/A</v>
      </c>
      <c r="AE45" t="str">
        <f>IF(A45&lt;('2. Inputs and results'!$C$21+1),-'2. Inputs and results'!$C$121*A45," ")</f>
        <v xml:space="preserve"> </v>
      </c>
      <c r="AF45" t="e">
        <f>IF(A45&lt;('2. Inputs and results'!$C$21+1),AE45/1000,NA())</f>
        <v>#N/A</v>
      </c>
    </row>
    <row r="46" spans="1:32" x14ac:dyDescent="0.25">
      <c r="A46">
        <f t="shared" si="0"/>
        <v>41</v>
      </c>
      <c r="B46" t="str">
        <f>IF(A46&lt;('2. Inputs and results'!$C$21+1),A46," ")</f>
        <v xml:space="preserve"> </v>
      </c>
      <c r="C46" s="4" t="str">
        <f>IF(A46&lt;('2. Inputs and results'!$C$21+1),'2. Inputs and results'!$C$99+'2. Inputs and results'!$C$101," ")</f>
        <v xml:space="preserve"> </v>
      </c>
      <c r="D46" s="4" t="e">
        <f>IF(A46&lt;('2. Inputs and results'!$C$21+1),D45+C46,NA())</f>
        <v>#N/A</v>
      </c>
      <c r="E46" s="4" t="str">
        <f>IF(A46&lt;('2. Inputs and results'!$C$21+1),C46/((1+$P$2)^A46)," ")</f>
        <v xml:space="preserve"> </v>
      </c>
      <c r="F46" s="4" t="str">
        <f>IF(B46&lt;('2. Inputs and results'!$C$21+1),F45+E46," ")</f>
        <v xml:space="preserve"> </v>
      </c>
      <c r="G46" s="4" t="str">
        <f>IF(A46&lt;('2. Inputs and results'!$C$21+1),G45*(1+'2. Inputs and results'!$C$46)," ")</f>
        <v xml:space="preserve"> </v>
      </c>
      <c r="H46" s="4" t="str">
        <f>IF(A46&lt;('2. Inputs and results'!$C$21+1),H45*(1+'2. Inputs and results'!$C$58)," ")</f>
        <v xml:space="preserve"> </v>
      </c>
      <c r="I46" s="4" t="str">
        <f>IF(A46&lt;('2. Inputs and results'!$C$21+1),I45*(1+'2. Inputs and results'!$C$34)," ")</f>
        <v xml:space="preserve"> </v>
      </c>
      <c r="J46" s="4" t="str">
        <f>IF(A46&lt;('2. Inputs and results'!$C$21+1),J45*(1+'2. Inputs and results'!$C$68)," ")</f>
        <v xml:space="preserve"> </v>
      </c>
      <c r="K46" s="4" t="e">
        <f>IF(A46&lt;('2. Inputs and results'!$C$21+1),K45+(G46+I46+H46+J46),NA())</f>
        <v>#N/A</v>
      </c>
      <c r="L46" s="4" t="e">
        <f>IF(A46&lt;('2. Inputs and results'!$C$21+1),L45,NA())</f>
        <v>#N/A</v>
      </c>
      <c r="M46" s="4" t="str">
        <f>IF(A46&lt;('2. Inputs and results'!$C$21+1),'2. Inputs and results'!$C$75*'2. Inputs and results'!$C$73," ")</f>
        <v xml:space="preserve"> </v>
      </c>
      <c r="N46" s="4" t="str">
        <f>IF(A46&lt;('2. Inputs and results'!$C$21+1),M46/((1+$P$2)^A46)," ")</f>
        <v xml:space="preserve"> </v>
      </c>
      <c r="O46" s="4" t="str">
        <f>IF(A46&lt;('2. Inputs and results'!$C$21+1),'2. Inputs and results'!$C$73*'2. Inputs and results'!$C$75+O45," ")</f>
        <v xml:space="preserve"> </v>
      </c>
      <c r="P46" s="4" t="str">
        <f>IF(A46&lt;('2. Inputs and results'!$C$21+1),(G46+I46+H46+J46)/((1+$P$2)^A46)," ")</f>
        <v xml:space="preserve"> </v>
      </c>
      <c r="Q46" s="4" t="str">
        <f>IF(A46&lt;('2. Inputs and results'!$C$21+1),Q45+P46," ")</f>
        <v xml:space="preserve"> </v>
      </c>
      <c r="R46" s="4" t="e">
        <f>IF(A46&lt;('2. Inputs and results'!$C$21+1),R45+G46+I46+H46+J46+T46-$V$6,NA())</f>
        <v>#N/A</v>
      </c>
      <c r="S46" s="4" t="str">
        <f>IF(A46&lt;('2. Inputs and results'!$C$21+1),'2. Inputs and results'!$C$79*(R45)," ")</f>
        <v xml:space="preserve"> </v>
      </c>
      <c r="T46" s="4">
        <f t="shared" si="1"/>
        <v>0</v>
      </c>
      <c r="U46" s="4" t="e">
        <f>IF(A46&lt;('2. Inputs and results'!$C$21+1),U45+((G46+I46+H46+J46-$V$6+T46)/((1+$P$2)^A46)),NA())</f>
        <v>#N/A</v>
      </c>
      <c r="V46" s="4" t="str">
        <f>IF(A46&lt;('2. Inputs and results'!$C$21+1),V45+('2. Inputs and results'!$C$75*'2. Inputs and results'!$C$73)," ")</f>
        <v xml:space="preserve"> </v>
      </c>
      <c r="W46" s="4" t="e">
        <f>IF(A46&lt;('2. Inputs and results'!$C$21+1),W45+C46+Y46-$V$6,NA())</f>
        <v>#N/A</v>
      </c>
      <c r="X46" s="4" t="str">
        <f>IF(A46&lt;('2. Inputs and results'!$C$21+1),'2. Inputs and results'!$C$79*(W45)," ")</f>
        <v xml:space="preserve"> </v>
      </c>
      <c r="Y46" s="4">
        <f t="shared" si="2"/>
        <v>0</v>
      </c>
      <c r="Z46" s="4" t="e">
        <f>IF(A46&lt;('2. Inputs and results'!$C$21+1),Z45+((C46-$V$6+Y46)/((1+$P$2)^A46)),NA())</f>
        <v>#N/A</v>
      </c>
      <c r="AA46" s="4" t="str">
        <f>IF(A46&lt;('2. Inputs and results'!$C$21+1),AA45+G46+I46+H46+T46-$V$6," ")</f>
        <v xml:space="preserve"> </v>
      </c>
      <c r="AB46" s="20" t="e">
        <f>IF(A46&lt;('2. Inputs and results'!$C$21+1),AA46/L46,NA())</f>
        <v>#N/A</v>
      </c>
      <c r="AC46" s="29" t="str">
        <f>IF(A46&lt;('2. Inputs and results'!$C$21+1),AC45+C46+Y46-$V$6," ")</f>
        <v xml:space="preserve"> </v>
      </c>
      <c r="AD46" s="20" t="e">
        <f>IF(A46&lt;('2. Inputs and results'!$C$21+1),AC46/L46,NA())</f>
        <v>#N/A</v>
      </c>
      <c r="AE46" t="str">
        <f>IF(A46&lt;('2. Inputs and results'!$C$21+1),-'2. Inputs and results'!$C$121*A46," ")</f>
        <v xml:space="preserve"> </v>
      </c>
      <c r="AF46" t="e">
        <f>IF(A46&lt;('2. Inputs and results'!$C$21+1),AE46/1000,NA())</f>
        <v>#N/A</v>
      </c>
    </row>
    <row r="47" spans="1:32" x14ac:dyDescent="0.25">
      <c r="A47">
        <f t="shared" si="0"/>
        <v>42</v>
      </c>
      <c r="B47" t="str">
        <f>IF(A47&lt;('2. Inputs and results'!$C$21+1),A47," ")</f>
        <v xml:space="preserve"> </v>
      </c>
      <c r="C47" s="4" t="str">
        <f>IF(A47&lt;('2. Inputs and results'!$C$21+1),'2. Inputs and results'!$C$99+'2. Inputs and results'!$C$101," ")</f>
        <v xml:space="preserve"> </v>
      </c>
      <c r="D47" s="4" t="e">
        <f>IF(A47&lt;('2. Inputs and results'!$C$21+1),D46+C47,NA())</f>
        <v>#N/A</v>
      </c>
      <c r="E47" s="4" t="str">
        <f>IF(A47&lt;('2. Inputs and results'!$C$21+1),C47/((1+$P$2)^A47)," ")</f>
        <v xml:space="preserve"> </v>
      </c>
      <c r="F47" s="4" t="str">
        <f>IF(B47&lt;('2. Inputs and results'!$C$21+1),F46+E47," ")</f>
        <v xml:space="preserve"> </v>
      </c>
      <c r="G47" s="4" t="str">
        <f>IF(A47&lt;('2. Inputs and results'!$C$21+1),G46*(1+'2. Inputs and results'!$C$46)," ")</f>
        <v xml:space="preserve"> </v>
      </c>
      <c r="H47" s="4" t="str">
        <f>IF(A47&lt;('2. Inputs and results'!$C$21+1),H46*(1+'2. Inputs and results'!$C$58)," ")</f>
        <v xml:space="preserve"> </v>
      </c>
      <c r="I47" s="4" t="str">
        <f>IF(A47&lt;('2. Inputs and results'!$C$21+1),I46*(1+'2. Inputs and results'!$C$34)," ")</f>
        <v xml:space="preserve"> </v>
      </c>
      <c r="J47" s="4" t="str">
        <f>IF(A47&lt;('2. Inputs and results'!$C$21+1),J46*(1+'2. Inputs and results'!$C$68)," ")</f>
        <v xml:space="preserve"> </v>
      </c>
      <c r="K47" s="4" t="e">
        <f>IF(A47&lt;('2. Inputs and results'!$C$21+1),K46+(G47+I47+H47+J47),NA())</f>
        <v>#N/A</v>
      </c>
      <c r="L47" s="4" t="e">
        <f>IF(A47&lt;('2. Inputs and results'!$C$21+1),L46,NA())</f>
        <v>#N/A</v>
      </c>
      <c r="M47" s="4" t="str">
        <f>IF(A47&lt;('2. Inputs and results'!$C$21+1),'2. Inputs and results'!$C$75*'2. Inputs and results'!$C$73," ")</f>
        <v xml:space="preserve"> </v>
      </c>
      <c r="N47" s="4" t="str">
        <f>IF(A47&lt;('2. Inputs and results'!$C$21+1),M47/((1+$P$2)^A47)," ")</f>
        <v xml:space="preserve"> </v>
      </c>
      <c r="O47" s="4" t="str">
        <f>IF(A47&lt;('2. Inputs and results'!$C$21+1),'2. Inputs and results'!$C$73*'2. Inputs and results'!$C$75+O46," ")</f>
        <v xml:space="preserve"> </v>
      </c>
      <c r="P47" s="4" t="str">
        <f>IF(A47&lt;('2. Inputs and results'!$C$21+1),(G47+I47+H47+J47)/((1+$P$2)^A47)," ")</f>
        <v xml:space="preserve"> </v>
      </c>
      <c r="Q47" s="4" t="str">
        <f>IF(A47&lt;('2. Inputs and results'!$C$21+1),Q46+P47," ")</f>
        <v xml:space="preserve"> </v>
      </c>
      <c r="R47" s="4" t="e">
        <f>IF(A47&lt;('2. Inputs and results'!$C$21+1),R46+G47+I47+H47+J47+T47-$V$6,NA())</f>
        <v>#N/A</v>
      </c>
      <c r="S47" s="4" t="str">
        <f>IF(A47&lt;('2. Inputs and results'!$C$21+1),'2. Inputs and results'!$C$79*(R46)," ")</f>
        <v xml:space="preserve"> </v>
      </c>
      <c r="T47" s="4">
        <f t="shared" si="1"/>
        <v>0</v>
      </c>
      <c r="U47" s="4" t="e">
        <f>IF(A47&lt;('2. Inputs and results'!$C$21+1),U46+((G47+I47+H47+J47-$V$6+T47)/((1+$P$2)^A47)),NA())</f>
        <v>#N/A</v>
      </c>
      <c r="V47" s="4" t="str">
        <f>IF(A47&lt;('2. Inputs and results'!$C$21+1),V46+('2. Inputs and results'!$C$75*'2. Inputs and results'!$C$73)," ")</f>
        <v xml:space="preserve"> </v>
      </c>
      <c r="W47" s="4" t="e">
        <f>IF(A47&lt;('2. Inputs and results'!$C$21+1),W46+C47+Y47-$V$6,NA())</f>
        <v>#N/A</v>
      </c>
      <c r="X47" s="4" t="str">
        <f>IF(A47&lt;('2. Inputs and results'!$C$21+1),'2. Inputs and results'!$C$79*(W46)," ")</f>
        <v xml:space="preserve"> </v>
      </c>
      <c r="Y47" s="4">
        <f t="shared" si="2"/>
        <v>0</v>
      </c>
      <c r="Z47" s="4" t="e">
        <f>IF(A47&lt;('2. Inputs and results'!$C$21+1),Z46+((C47-$V$6+Y47)/((1+$P$2)^A47)),NA())</f>
        <v>#N/A</v>
      </c>
      <c r="AA47" s="4" t="str">
        <f>IF(A47&lt;('2. Inputs and results'!$C$21+1),AA46+G47+I47+H47+T47-$V$6," ")</f>
        <v xml:space="preserve"> </v>
      </c>
      <c r="AB47" s="20" t="e">
        <f>IF(A47&lt;('2. Inputs and results'!$C$21+1),AA47/L47,NA())</f>
        <v>#N/A</v>
      </c>
      <c r="AC47" s="29" t="str">
        <f>IF(A47&lt;('2. Inputs and results'!$C$21+1),AC46+C47+Y47-$V$6," ")</f>
        <v xml:space="preserve"> </v>
      </c>
      <c r="AD47" s="20" t="e">
        <f>IF(A47&lt;('2. Inputs and results'!$C$21+1),AC47/L47,NA())</f>
        <v>#N/A</v>
      </c>
      <c r="AE47" t="str">
        <f>IF(A47&lt;('2. Inputs and results'!$C$21+1),-'2. Inputs and results'!$C$121*A47," ")</f>
        <v xml:space="preserve"> </v>
      </c>
      <c r="AF47" t="e">
        <f>IF(A47&lt;('2. Inputs and results'!$C$21+1),AE47/1000,NA())</f>
        <v>#N/A</v>
      </c>
    </row>
    <row r="48" spans="1:32" x14ac:dyDescent="0.25">
      <c r="A48">
        <f t="shared" si="0"/>
        <v>43</v>
      </c>
      <c r="B48" t="str">
        <f>IF(A48&lt;('2. Inputs and results'!$C$21+1),A48," ")</f>
        <v xml:space="preserve"> </v>
      </c>
      <c r="C48" s="4" t="str">
        <f>IF(A48&lt;('2. Inputs and results'!$C$21+1),'2. Inputs and results'!$C$99+'2. Inputs and results'!$C$101," ")</f>
        <v xml:space="preserve"> </v>
      </c>
      <c r="D48" s="4" t="e">
        <f>IF(A48&lt;('2. Inputs and results'!$C$21+1),D47+C48,NA())</f>
        <v>#N/A</v>
      </c>
      <c r="E48" s="4" t="str">
        <f>IF(A48&lt;('2. Inputs and results'!$C$21+1),C48/((1+$P$2)^A48)," ")</f>
        <v xml:space="preserve"> </v>
      </c>
      <c r="F48" s="4" t="str">
        <f>IF(B48&lt;('2. Inputs and results'!$C$21+1),F47+E48," ")</f>
        <v xml:space="preserve"> </v>
      </c>
      <c r="G48" s="4" t="str">
        <f>IF(A48&lt;('2. Inputs and results'!$C$21+1),G47*(1+'2. Inputs and results'!$C$46)," ")</f>
        <v xml:space="preserve"> </v>
      </c>
      <c r="H48" s="4" t="str">
        <f>IF(A48&lt;('2. Inputs and results'!$C$21+1),H47*(1+'2. Inputs and results'!$C$58)," ")</f>
        <v xml:space="preserve"> </v>
      </c>
      <c r="I48" s="4" t="str">
        <f>IF(A48&lt;('2. Inputs and results'!$C$21+1),I47*(1+'2. Inputs and results'!$C$34)," ")</f>
        <v xml:space="preserve"> </v>
      </c>
      <c r="J48" s="4" t="str">
        <f>IF(A48&lt;('2. Inputs and results'!$C$21+1),J47*(1+'2. Inputs and results'!$C$68)," ")</f>
        <v xml:space="preserve"> </v>
      </c>
      <c r="K48" s="4" t="e">
        <f>IF(A48&lt;('2. Inputs and results'!$C$21+1),K47+(G48+I48+H48+J48),NA())</f>
        <v>#N/A</v>
      </c>
      <c r="L48" s="4" t="e">
        <f>IF(A48&lt;('2. Inputs and results'!$C$21+1),L47,NA())</f>
        <v>#N/A</v>
      </c>
      <c r="M48" s="4" t="str">
        <f>IF(A48&lt;('2. Inputs and results'!$C$21+1),'2. Inputs and results'!$C$75*'2. Inputs and results'!$C$73," ")</f>
        <v xml:space="preserve"> </v>
      </c>
      <c r="N48" s="4" t="str">
        <f>IF(A48&lt;('2. Inputs and results'!$C$21+1),M48/((1+$P$2)^A48)," ")</f>
        <v xml:space="preserve"> </v>
      </c>
      <c r="O48" s="4" t="str">
        <f>IF(A48&lt;('2. Inputs and results'!$C$21+1),'2. Inputs and results'!$C$73*'2. Inputs and results'!$C$75+O47," ")</f>
        <v xml:space="preserve"> </v>
      </c>
      <c r="P48" s="4" t="str">
        <f>IF(A48&lt;('2. Inputs and results'!$C$21+1),(G48+I48+H48+J48)/((1+$P$2)^A48)," ")</f>
        <v xml:space="preserve"> </v>
      </c>
      <c r="Q48" s="4" t="str">
        <f>IF(A48&lt;('2. Inputs and results'!$C$21+1),Q47+P48," ")</f>
        <v xml:space="preserve"> </v>
      </c>
      <c r="R48" s="4" t="e">
        <f>IF(A48&lt;('2. Inputs and results'!$C$21+1),R47+G48+I48+H48+J48+T48-$V$6,NA())</f>
        <v>#N/A</v>
      </c>
      <c r="S48" s="4" t="str">
        <f>IF(A48&lt;('2. Inputs and results'!$C$21+1),'2. Inputs and results'!$C$79*(R47)," ")</f>
        <v xml:space="preserve"> </v>
      </c>
      <c r="T48" s="4">
        <f t="shared" si="1"/>
        <v>0</v>
      </c>
      <c r="U48" s="4" t="e">
        <f>IF(A48&lt;('2. Inputs and results'!$C$21+1),U47+((G48+I48+H48+J48-$V$6+T48)/((1+$P$2)^A48)),NA())</f>
        <v>#N/A</v>
      </c>
      <c r="V48" s="4" t="str">
        <f>IF(A48&lt;('2. Inputs and results'!$C$21+1),V47+('2. Inputs and results'!$C$75*'2. Inputs and results'!$C$73)," ")</f>
        <v xml:space="preserve"> </v>
      </c>
      <c r="W48" s="4" t="e">
        <f>IF(A48&lt;('2. Inputs and results'!$C$21+1),W47+C48+Y48-$V$6,NA())</f>
        <v>#N/A</v>
      </c>
      <c r="X48" s="4" t="str">
        <f>IF(A48&lt;('2. Inputs and results'!$C$21+1),'2. Inputs and results'!$C$79*(W47)," ")</f>
        <v xml:space="preserve"> </v>
      </c>
      <c r="Y48" s="4">
        <f t="shared" si="2"/>
        <v>0</v>
      </c>
      <c r="Z48" s="4" t="e">
        <f>IF(A48&lt;('2. Inputs and results'!$C$21+1),Z47+((C48-$V$6+Y48)/((1+$P$2)^A48)),NA())</f>
        <v>#N/A</v>
      </c>
      <c r="AA48" s="4" t="str">
        <f>IF(A48&lt;('2. Inputs and results'!$C$21+1),AA47+G48+I48+H48+T48-$V$6," ")</f>
        <v xml:space="preserve"> </v>
      </c>
      <c r="AB48" s="20" t="e">
        <f>IF(A48&lt;('2. Inputs and results'!$C$21+1),AA48/L48,NA())</f>
        <v>#N/A</v>
      </c>
      <c r="AC48" s="29" t="str">
        <f>IF(A48&lt;('2. Inputs and results'!$C$21+1),AC47+C48+Y48-$V$6," ")</f>
        <v xml:space="preserve"> </v>
      </c>
      <c r="AD48" s="20" t="e">
        <f>IF(A48&lt;('2. Inputs and results'!$C$21+1),AC48/L48,NA())</f>
        <v>#N/A</v>
      </c>
      <c r="AE48" t="str">
        <f>IF(A48&lt;('2. Inputs and results'!$C$21+1),-'2. Inputs and results'!$C$121*A48," ")</f>
        <v xml:space="preserve"> </v>
      </c>
      <c r="AF48" t="e">
        <f>IF(A48&lt;('2. Inputs and results'!$C$21+1),AE48/1000,NA())</f>
        <v>#N/A</v>
      </c>
    </row>
    <row r="49" spans="1:32" x14ac:dyDescent="0.25">
      <c r="A49">
        <f t="shared" si="0"/>
        <v>44</v>
      </c>
      <c r="B49" t="str">
        <f>IF(A49&lt;('2. Inputs and results'!$C$21+1),A49," ")</f>
        <v xml:space="preserve"> </v>
      </c>
      <c r="C49" s="4" t="str">
        <f>IF(A49&lt;('2. Inputs and results'!$C$21+1),'2. Inputs and results'!$C$99+'2. Inputs and results'!$C$101," ")</f>
        <v xml:space="preserve"> </v>
      </c>
      <c r="D49" s="4" t="e">
        <f>IF(A49&lt;('2. Inputs and results'!$C$21+1),D48+C49,NA())</f>
        <v>#N/A</v>
      </c>
      <c r="E49" s="4" t="str">
        <f>IF(A49&lt;('2. Inputs and results'!$C$21+1),C49/((1+$P$2)^A49)," ")</f>
        <v xml:space="preserve"> </v>
      </c>
      <c r="F49" s="4" t="str">
        <f>IF(B49&lt;('2. Inputs and results'!$C$21+1),F48+E49," ")</f>
        <v xml:space="preserve"> </v>
      </c>
      <c r="G49" s="4" t="str">
        <f>IF(A49&lt;('2. Inputs and results'!$C$21+1),G48*(1+'2. Inputs and results'!$C$46)," ")</f>
        <v xml:space="preserve"> </v>
      </c>
      <c r="H49" s="4" t="str">
        <f>IF(A49&lt;('2. Inputs and results'!$C$21+1),H48*(1+'2. Inputs and results'!$C$58)," ")</f>
        <v xml:space="preserve"> </v>
      </c>
      <c r="I49" s="4" t="str">
        <f>IF(A49&lt;('2. Inputs and results'!$C$21+1),I48*(1+'2. Inputs and results'!$C$34)," ")</f>
        <v xml:space="preserve"> </v>
      </c>
      <c r="J49" s="4" t="str">
        <f>IF(A49&lt;('2. Inputs and results'!$C$21+1),J48*(1+'2. Inputs and results'!$C$68)," ")</f>
        <v xml:space="preserve"> </v>
      </c>
      <c r="K49" s="4" t="e">
        <f>IF(A49&lt;('2. Inputs and results'!$C$21+1),K48+(G49+I49+H49+J49),NA())</f>
        <v>#N/A</v>
      </c>
      <c r="L49" s="4" t="e">
        <f>IF(A49&lt;('2. Inputs and results'!$C$21+1),L48,NA())</f>
        <v>#N/A</v>
      </c>
      <c r="M49" s="4" t="str">
        <f>IF(A49&lt;('2. Inputs and results'!$C$21+1),'2. Inputs and results'!$C$75*'2. Inputs and results'!$C$73," ")</f>
        <v xml:space="preserve"> </v>
      </c>
      <c r="N49" s="4" t="str">
        <f>IF(A49&lt;('2. Inputs and results'!$C$21+1),M49/((1+$P$2)^A49)," ")</f>
        <v xml:space="preserve"> </v>
      </c>
      <c r="O49" s="4" t="str">
        <f>IF(A49&lt;('2. Inputs and results'!$C$21+1),'2. Inputs and results'!$C$73*'2. Inputs and results'!$C$75+O48," ")</f>
        <v xml:space="preserve"> </v>
      </c>
      <c r="P49" s="4" t="str">
        <f>IF(A49&lt;('2. Inputs and results'!$C$21+1),(G49+I49+H49+J49)/((1+$P$2)^A49)," ")</f>
        <v xml:space="preserve"> </v>
      </c>
      <c r="Q49" s="4" t="str">
        <f>IF(A49&lt;('2. Inputs and results'!$C$21+1),Q48+P49," ")</f>
        <v xml:space="preserve"> </v>
      </c>
      <c r="R49" s="4" t="e">
        <f>IF(A49&lt;('2. Inputs and results'!$C$21+1),R48+G49+I49+H49+J49+T49-$V$6,NA())</f>
        <v>#N/A</v>
      </c>
      <c r="S49" s="4" t="str">
        <f>IF(A49&lt;('2. Inputs and results'!$C$21+1),'2. Inputs and results'!$C$79*(R48)," ")</f>
        <v xml:space="preserve"> </v>
      </c>
      <c r="T49" s="4">
        <f t="shared" si="1"/>
        <v>0</v>
      </c>
      <c r="U49" s="4" t="e">
        <f>IF(A49&lt;('2. Inputs and results'!$C$21+1),U48+((G49+I49+H49+J49-$V$6+T49)/((1+$P$2)^A49)),NA())</f>
        <v>#N/A</v>
      </c>
      <c r="V49" s="4" t="str">
        <f>IF(A49&lt;('2. Inputs and results'!$C$21+1),V48+('2. Inputs and results'!$C$75*'2. Inputs and results'!$C$73)," ")</f>
        <v xml:space="preserve"> </v>
      </c>
      <c r="W49" s="4" t="e">
        <f>IF(A49&lt;('2. Inputs and results'!$C$21+1),W48+C49+Y49-$V$6,NA())</f>
        <v>#N/A</v>
      </c>
      <c r="X49" s="4" t="str">
        <f>IF(A49&lt;('2. Inputs and results'!$C$21+1),'2. Inputs and results'!$C$79*(W48)," ")</f>
        <v xml:space="preserve"> </v>
      </c>
      <c r="Y49" s="4">
        <f t="shared" si="2"/>
        <v>0</v>
      </c>
      <c r="Z49" s="4" t="e">
        <f>IF(A49&lt;('2. Inputs and results'!$C$21+1),Z48+((C49-$V$6+Y49)/((1+$P$2)^A49)),NA())</f>
        <v>#N/A</v>
      </c>
      <c r="AA49" s="4" t="str">
        <f>IF(A49&lt;('2. Inputs and results'!$C$21+1),AA48+G49+I49+H49+T49-$V$6," ")</f>
        <v xml:space="preserve"> </v>
      </c>
      <c r="AB49" s="20" t="e">
        <f>IF(A49&lt;('2. Inputs and results'!$C$21+1),AA49/L49,NA())</f>
        <v>#N/A</v>
      </c>
      <c r="AC49" s="29" t="str">
        <f>IF(A49&lt;('2. Inputs and results'!$C$21+1),AC48+C49+Y49-$V$6," ")</f>
        <v xml:space="preserve"> </v>
      </c>
      <c r="AD49" s="20" t="e">
        <f>IF(A49&lt;('2. Inputs and results'!$C$21+1),AC49/L49,NA())</f>
        <v>#N/A</v>
      </c>
      <c r="AE49" t="str">
        <f>IF(A49&lt;('2. Inputs and results'!$C$21+1),-'2. Inputs and results'!$C$121*A49," ")</f>
        <v xml:space="preserve"> </v>
      </c>
      <c r="AF49" t="e">
        <f>IF(A49&lt;('2. Inputs and results'!$C$21+1),AE49/1000,NA())</f>
        <v>#N/A</v>
      </c>
    </row>
    <row r="50" spans="1:32" x14ac:dyDescent="0.25">
      <c r="A50">
        <f t="shared" si="0"/>
        <v>45</v>
      </c>
      <c r="B50" t="str">
        <f>IF(A50&lt;('2. Inputs and results'!$C$21+1),A50," ")</f>
        <v xml:space="preserve"> </v>
      </c>
      <c r="C50" s="4" t="str">
        <f>IF(A50&lt;('2. Inputs and results'!$C$21+1),'2. Inputs and results'!$C$99+'2. Inputs and results'!$C$101," ")</f>
        <v xml:space="preserve"> </v>
      </c>
      <c r="D50" s="4" t="e">
        <f>IF(A50&lt;('2. Inputs and results'!$C$21+1),D49+C50,NA())</f>
        <v>#N/A</v>
      </c>
      <c r="E50" s="4" t="str">
        <f>IF(A50&lt;('2. Inputs and results'!$C$21+1),C50/((1+$P$2)^A50)," ")</f>
        <v xml:space="preserve"> </v>
      </c>
      <c r="F50" s="4" t="str">
        <f>IF(B50&lt;('2. Inputs and results'!$C$21+1),F49+E50," ")</f>
        <v xml:space="preserve"> </v>
      </c>
      <c r="G50" s="4" t="str">
        <f>IF(A50&lt;('2. Inputs and results'!$C$21+1),G49*(1+'2. Inputs and results'!$C$46)," ")</f>
        <v xml:space="preserve"> </v>
      </c>
      <c r="H50" s="4" t="str">
        <f>IF(A50&lt;('2. Inputs and results'!$C$21+1),H49*(1+'2. Inputs and results'!$C$58)," ")</f>
        <v xml:space="preserve"> </v>
      </c>
      <c r="I50" s="4" t="str">
        <f>IF(A50&lt;('2. Inputs and results'!$C$21+1),I49*(1+'2. Inputs and results'!$C$34)," ")</f>
        <v xml:space="preserve"> </v>
      </c>
      <c r="J50" s="4" t="str">
        <f>IF(A50&lt;('2. Inputs and results'!$C$21+1),J49*(1+'2. Inputs and results'!$C$68)," ")</f>
        <v xml:space="preserve"> </v>
      </c>
      <c r="K50" s="4" t="e">
        <f>IF(A50&lt;('2. Inputs and results'!$C$21+1),K49+(G50+I50+H50+J50),NA())</f>
        <v>#N/A</v>
      </c>
      <c r="L50" s="4" t="e">
        <f>IF(A50&lt;('2. Inputs and results'!$C$21+1),L49,NA())</f>
        <v>#N/A</v>
      </c>
      <c r="M50" s="4" t="str">
        <f>IF(A50&lt;('2. Inputs and results'!$C$21+1),'2. Inputs and results'!$C$75*'2. Inputs and results'!$C$73," ")</f>
        <v xml:space="preserve"> </v>
      </c>
      <c r="N50" s="4" t="str">
        <f>IF(A50&lt;('2. Inputs and results'!$C$21+1),M50/((1+$P$2)^A50)," ")</f>
        <v xml:space="preserve"> </v>
      </c>
      <c r="O50" s="4" t="str">
        <f>IF(A50&lt;('2. Inputs and results'!$C$21+1),'2. Inputs and results'!$C$73*'2. Inputs and results'!$C$75+O49," ")</f>
        <v xml:space="preserve"> </v>
      </c>
      <c r="P50" s="4" t="str">
        <f>IF(A50&lt;('2. Inputs and results'!$C$21+1),(G50+I50+H50+J50)/((1+$P$2)^A50)," ")</f>
        <v xml:space="preserve"> </v>
      </c>
      <c r="Q50" s="4" t="str">
        <f>IF(A50&lt;('2. Inputs and results'!$C$21+1),Q49+P50," ")</f>
        <v xml:space="preserve"> </v>
      </c>
      <c r="R50" s="4" t="e">
        <f>IF(A50&lt;('2. Inputs and results'!$C$21+1),R49+G50+I50+H50+J50+T50-$V$6,NA())</f>
        <v>#N/A</v>
      </c>
      <c r="S50" s="4" t="str">
        <f>IF(A50&lt;('2. Inputs and results'!$C$21+1),'2. Inputs and results'!$C$79*(R49)," ")</f>
        <v xml:space="preserve"> </v>
      </c>
      <c r="T50" s="4">
        <f t="shared" si="1"/>
        <v>0</v>
      </c>
      <c r="U50" s="4" t="e">
        <f>IF(A50&lt;('2. Inputs and results'!$C$21+1),U49+((G50+I50+H50+J50-$V$6+T50)/((1+$P$2)^A50)),NA())</f>
        <v>#N/A</v>
      </c>
      <c r="V50" s="4" t="str">
        <f>IF(A50&lt;('2. Inputs and results'!$C$21+1),V49+('2. Inputs and results'!$C$75*'2. Inputs and results'!$C$73)," ")</f>
        <v xml:space="preserve"> </v>
      </c>
      <c r="W50" s="4" t="e">
        <f>IF(A50&lt;('2. Inputs and results'!$C$21+1),W49+C50+Y50-$V$6,NA())</f>
        <v>#N/A</v>
      </c>
      <c r="X50" s="4" t="str">
        <f>IF(A50&lt;('2. Inputs and results'!$C$21+1),'2. Inputs and results'!$C$79*(W49)," ")</f>
        <v xml:space="preserve"> </v>
      </c>
      <c r="Y50" s="4">
        <f t="shared" si="2"/>
        <v>0</v>
      </c>
      <c r="Z50" s="4" t="e">
        <f>IF(A50&lt;('2. Inputs and results'!$C$21+1),Z49+((C50-$V$6+Y50)/((1+$P$2)^A50)),NA())</f>
        <v>#N/A</v>
      </c>
      <c r="AA50" s="4" t="str">
        <f>IF(A50&lt;('2. Inputs and results'!$C$21+1),AA49+G50+I50+H50+T50-$V$6," ")</f>
        <v xml:space="preserve"> </v>
      </c>
      <c r="AB50" s="20" t="e">
        <f>IF(A50&lt;('2. Inputs and results'!$C$21+1),AA50/L50,NA())</f>
        <v>#N/A</v>
      </c>
      <c r="AC50" s="29" t="str">
        <f>IF(A50&lt;('2. Inputs and results'!$C$21+1),AC49+C50+Y50-$V$6," ")</f>
        <v xml:space="preserve"> </v>
      </c>
      <c r="AD50" s="20" t="e">
        <f>IF(A50&lt;('2. Inputs and results'!$C$21+1),AC50/L50,NA())</f>
        <v>#N/A</v>
      </c>
      <c r="AE50" t="str">
        <f>IF(A50&lt;('2. Inputs and results'!$C$21+1),-'2. Inputs and results'!$C$121*A50," ")</f>
        <v xml:space="preserve"> </v>
      </c>
      <c r="AF50" t="e">
        <f>IF(A50&lt;('2. Inputs and results'!$C$21+1),AE50/1000,NA())</f>
        <v>#N/A</v>
      </c>
    </row>
    <row r="51" spans="1:32" x14ac:dyDescent="0.25">
      <c r="A51">
        <f t="shared" si="0"/>
        <v>46</v>
      </c>
      <c r="B51" t="str">
        <f>IF(A51&lt;('2. Inputs and results'!$C$21+1),A51," ")</f>
        <v xml:space="preserve"> </v>
      </c>
      <c r="C51" s="4" t="str">
        <f>IF(A51&lt;('2. Inputs and results'!$C$21+1),'2. Inputs and results'!$C$99+'2. Inputs and results'!$C$101," ")</f>
        <v xml:space="preserve"> </v>
      </c>
      <c r="D51" s="4" t="e">
        <f>IF(A51&lt;('2. Inputs and results'!$C$21+1),D50+C51,NA())</f>
        <v>#N/A</v>
      </c>
      <c r="E51" s="4" t="str">
        <f>IF(A51&lt;('2. Inputs and results'!$C$21+1),C51/((1+$P$2)^A51)," ")</f>
        <v xml:space="preserve"> </v>
      </c>
      <c r="F51" s="4" t="str">
        <f>IF(B51&lt;('2. Inputs and results'!$C$21+1),F50+E51," ")</f>
        <v xml:space="preserve"> </v>
      </c>
      <c r="G51" s="4" t="str">
        <f>IF(A51&lt;('2. Inputs and results'!$C$21+1),G50*(1+'2. Inputs and results'!$C$46)," ")</f>
        <v xml:space="preserve"> </v>
      </c>
      <c r="H51" s="4" t="str">
        <f>IF(A51&lt;('2. Inputs and results'!$C$21+1),H50*(1+'2. Inputs and results'!$C$58)," ")</f>
        <v xml:space="preserve"> </v>
      </c>
      <c r="I51" s="4" t="str">
        <f>IF(A51&lt;('2. Inputs and results'!$C$21+1),I50*(1+'2. Inputs and results'!$C$34)," ")</f>
        <v xml:space="preserve"> </v>
      </c>
      <c r="J51" s="4" t="str">
        <f>IF(A51&lt;('2. Inputs and results'!$C$21+1),J50*(1+'2. Inputs and results'!$C$68)," ")</f>
        <v xml:space="preserve"> </v>
      </c>
      <c r="K51" s="4" t="e">
        <f>IF(A51&lt;('2. Inputs and results'!$C$21+1),K50+(G51+I51+H51+J51),NA())</f>
        <v>#N/A</v>
      </c>
      <c r="L51" s="4" t="e">
        <f>IF(A51&lt;('2. Inputs and results'!$C$21+1),L50,NA())</f>
        <v>#N/A</v>
      </c>
      <c r="M51" s="4" t="str">
        <f>IF(A51&lt;('2. Inputs and results'!$C$21+1),'2. Inputs and results'!$C$75*'2. Inputs and results'!$C$73," ")</f>
        <v xml:space="preserve"> </v>
      </c>
      <c r="N51" s="4" t="str">
        <f>IF(A51&lt;('2. Inputs and results'!$C$21+1),M51/((1+$P$2)^A51)," ")</f>
        <v xml:space="preserve"> </v>
      </c>
      <c r="O51" s="4" t="str">
        <f>IF(A51&lt;('2. Inputs and results'!$C$21+1),'2. Inputs and results'!$C$73*'2. Inputs and results'!$C$75+O50," ")</f>
        <v xml:space="preserve"> </v>
      </c>
      <c r="P51" s="4" t="str">
        <f>IF(A51&lt;('2. Inputs and results'!$C$21+1),(G51+I51+H51+J51)/((1+$P$2)^A51)," ")</f>
        <v xml:space="preserve"> </v>
      </c>
      <c r="Q51" s="4" t="str">
        <f>IF(A51&lt;('2. Inputs and results'!$C$21+1),Q50+P51," ")</f>
        <v xml:space="preserve"> </v>
      </c>
      <c r="R51" s="4" t="e">
        <f>IF(A51&lt;('2. Inputs and results'!$C$21+1),R50+G51+I51+H51+J51+T51-$V$6,NA())</f>
        <v>#N/A</v>
      </c>
      <c r="S51" s="4" t="str">
        <f>IF(A51&lt;('2. Inputs and results'!$C$21+1),'2. Inputs and results'!$C$79*(R50)," ")</f>
        <v xml:space="preserve"> </v>
      </c>
      <c r="T51" s="4">
        <f t="shared" si="1"/>
        <v>0</v>
      </c>
      <c r="U51" s="4" t="e">
        <f>IF(A51&lt;('2. Inputs and results'!$C$21+1),U50+((G51+I51+H51+J51-$V$6+T51)/((1+$P$2)^A51)),NA())</f>
        <v>#N/A</v>
      </c>
      <c r="V51" s="4" t="str">
        <f>IF(A51&lt;('2. Inputs and results'!$C$21+1),V50+('2. Inputs and results'!$C$75*'2. Inputs and results'!$C$73)," ")</f>
        <v xml:space="preserve"> </v>
      </c>
      <c r="W51" s="4" t="e">
        <f>IF(A51&lt;('2. Inputs and results'!$C$21+1),W50+C51+Y51-$V$6,NA())</f>
        <v>#N/A</v>
      </c>
      <c r="X51" s="4" t="str">
        <f>IF(A51&lt;('2. Inputs and results'!$C$21+1),'2. Inputs and results'!$C$79*(W50)," ")</f>
        <v xml:space="preserve"> </v>
      </c>
      <c r="Y51" s="4">
        <f t="shared" si="2"/>
        <v>0</v>
      </c>
      <c r="Z51" s="4" t="e">
        <f>IF(A51&lt;('2. Inputs and results'!$C$21+1),Z50+((C51-$V$6+Y51)/((1+$P$2)^A51)),NA())</f>
        <v>#N/A</v>
      </c>
      <c r="AA51" s="4" t="str">
        <f>IF(A51&lt;('2. Inputs and results'!$C$21+1),AA50+G51+I51+H51+T51-$V$6," ")</f>
        <v xml:space="preserve"> </v>
      </c>
      <c r="AB51" s="20" t="e">
        <f>IF(A51&lt;('2. Inputs and results'!$C$21+1),AA51/L51,NA())</f>
        <v>#N/A</v>
      </c>
      <c r="AC51" s="29" t="str">
        <f>IF(A51&lt;('2. Inputs and results'!$C$21+1),AC50+C51+Y51-$V$6," ")</f>
        <v xml:space="preserve"> </v>
      </c>
      <c r="AD51" s="20" t="e">
        <f>IF(A51&lt;('2. Inputs and results'!$C$21+1),AC51/L51,NA())</f>
        <v>#N/A</v>
      </c>
      <c r="AE51" t="str">
        <f>IF(A51&lt;('2. Inputs and results'!$C$21+1),-'2. Inputs and results'!$C$121*A51," ")</f>
        <v xml:space="preserve"> </v>
      </c>
      <c r="AF51" t="e">
        <f>IF(A51&lt;('2. Inputs and results'!$C$21+1),AE51/1000,NA())</f>
        <v>#N/A</v>
      </c>
    </row>
    <row r="52" spans="1:32" x14ac:dyDescent="0.25">
      <c r="A52">
        <f>A51+1</f>
        <v>47</v>
      </c>
      <c r="B52" t="str">
        <f>IF(A52&lt;('2. Inputs and results'!$C$21+1),A52," ")</f>
        <v xml:space="preserve"> </v>
      </c>
      <c r="C52" s="4" t="str">
        <f>IF(A52&lt;('2. Inputs and results'!$C$21+1),'2. Inputs and results'!$C$99+'2. Inputs and results'!$C$101," ")</f>
        <v xml:space="preserve"> </v>
      </c>
      <c r="D52" s="4" t="e">
        <f>IF(A52&lt;('2. Inputs and results'!$C$21+1),D51+C52,NA())</f>
        <v>#N/A</v>
      </c>
      <c r="E52" s="4" t="str">
        <f>IF(A52&lt;('2. Inputs and results'!$C$21+1),C52/((1+$P$2)^A52)," ")</f>
        <v xml:space="preserve"> </v>
      </c>
      <c r="F52" s="4" t="str">
        <f>IF(B52&lt;('2. Inputs and results'!$C$21+1),F51+E52," ")</f>
        <v xml:space="preserve"> </v>
      </c>
      <c r="G52" s="4" t="str">
        <f>IF(A52&lt;('2. Inputs and results'!$C$21+1),G51*(1+'2. Inputs and results'!$C$46)," ")</f>
        <v xml:space="preserve"> </v>
      </c>
      <c r="H52" s="4" t="str">
        <f>IF(A52&lt;('2. Inputs and results'!$C$21+1),H51*(1+'2. Inputs and results'!$C$58)," ")</f>
        <v xml:space="preserve"> </v>
      </c>
      <c r="I52" s="4" t="str">
        <f>IF(A52&lt;('2. Inputs and results'!$C$21+1),I51*(1+'2. Inputs and results'!$C$34)," ")</f>
        <v xml:space="preserve"> </v>
      </c>
      <c r="J52" s="4" t="str">
        <f>IF(A52&lt;('2. Inputs and results'!$C$21+1),J51*(1+'2. Inputs and results'!$C$68)," ")</f>
        <v xml:space="preserve"> </v>
      </c>
      <c r="K52" s="4" t="e">
        <f>IF(A52&lt;('2. Inputs and results'!$C$21+1),K51+(G52+I52+H52+J52),NA())</f>
        <v>#N/A</v>
      </c>
      <c r="L52" s="4" t="e">
        <f>IF(A52&lt;('2. Inputs and results'!$C$21+1),L51,NA())</f>
        <v>#N/A</v>
      </c>
      <c r="M52" s="4" t="str">
        <f>IF(A52&lt;('2. Inputs and results'!$C$21+1),'2. Inputs and results'!$C$75*'2. Inputs and results'!$C$73," ")</f>
        <v xml:space="preserve"> </v>
      </c>
      <c r="N52" s="4" t="str">
        <f>IF(A52&lt;('2. Inputs and results'!$C$21+1),M52/((1+$P$2)^A52)," ")</f>
        <v xml:space="preserve"> </v>
      </c>
      <c r="O52" s="4" t="str">
        <f>IF(A52&lt;('2. Inputs and results'!$C$21+1),'2. Inputs and results'!$C$73*'2. Inputs and results'!$C$75+O51," ")</f>
        <v xml:space="preserve"> </v>
      </c>
      <c r="P52" s="4" t="str">
        <f>IF(A52&lt;('2. Inputs and results'!$C$21+1),(G52+I52+H52+J52)/((1+$P$2)^A52)," ")</f>
        <v xml:space="preserve"> </v>
      </c>
      <c r="Q52" s="4" t="str">
        <f>IF(A52&lt;('2. Inputs and results'!$C$21+1),Q51+P52," ")</f>
        <v xml:space="preserve"> </v>
      </c>
      <c r="R52" s="4" t="e">
        <f>IF(A52&lt;('2. Inputs and results'!$C$21+1),R51+G52+I52+H52+J52+T52-$V$6,NA())</f>
        <v>#N/A</v>
      </c>
      <c r="S52" s="4" t="str">
        <f>IF(A52&lt;('2. Inputs and results'!$C$21+1),'2. Inputs and results'!$C$79*(R51)," ")</f>
        <v xml:space="preserve"> </v>
      </c>
      <c r="T52" s="4">
        <f t="shared" si="1"/>
        <v>0</v>
      </c>
      <c r="U52" s="4" t="e">
        <f>IF(A52&lt;('2. Inputs and results'!$C$21+1),U51+((G52+I52+H52+J52-$V$6+T52)/((1+$P$2)^A52)),NA())</f>
        <v>#N/A</v>
      </c>
      <c r="V52" s="4" t="str">
        <f>IF(A52&lt;('2. Inputs and results'!$C$21+1),V51+('2. Inputs and results'!$C$75*'2. Inputs and results'!$C$73)," ")</f>
        <v xml:space="preserve"> </v>
      </c>
      <c r="W52" s="4" t="e">
        <f>IF(A52&lt;('2. Inputs and results'!$C$21+1),W51+C52+Y52-$V$6,NA())</f>
        <v>#N/A</v>
      </c>
      <c r="X52" s="4" t="str">
        <f>IF(A52&lt;('2. Inputs and results'!$C$21+1),'2. Inputs and results'!$C$79*(W51)," ")</f>
        <v xml:space="preserve"> </v>
      </c>
      <c r="Y52" s="4">
        <f t="shared" si="2"/>
        <v>0</v>
      </c>
      <c r="Z52" s="4" t="e">
        <f>IF(A52&lt;('2. Inputs and results'!$C$21+1),Z51+((C52-$V$6+Y52)/((1+$P$2)^A52)),NA())</f>
        <v>#N/A</v>
      </c>
      <c r="AA52" s="4" t="str">
        <f>IF(A52&lt;('2. Inputs and results'!$C$21+1),AA51+G52+I52+H52+T52-$V$6," ")</f>
        <v xml:space="preserve"> </v>
      </c>
      <c r="AB52" s="20" t="e">
        <f>IF(A52&lt;('2. Inputs and results'!$C$21+1),AA52/L52,NA())</f>
        <v>#N/A</v>
      </c>
      <c r="AC52" s="29" t="str">
        <f>IF(A52&lt;('2. Inputs and results'!$C$21+1),AC51+C52+Y52-$V$6," ")</f>
        <v xml:space="preserve"> </v>
      </c>
      <c r="AD52" s="20" t="e">
        <f>IF(A52&lt;('2. Inputs and results'!$C$21+1),AC52/L52,NA())</f>
        <v>#N/A</v>
      </c>
      <c r="AE52" t="str">
        <f>IF(A52&lt;('2. Inputs and results'!$C$21+1),-'2. Inputs and results'!$C$121*A52," ")</f>
        <v xml:space="preserve"> </v>
      </c>
      <c r="AF52" t="e">
        <f>IF(A52&lt;('2. Inputs and results'!$C$21+1),AE52/1000,NA())</f>
        <v>#N/A</v>
      </c>
    </row>
    <row r="53" spans="1:32" x14ac:dyDescent="0.25">
      <c r="A53">
        <f t="shared" si="0"/>
        <v>48</v>
      </c>
      <c r="B53" t="str">
        <f>IF(A53&lt;('2. Inputs and results'!$C$21+1),A53," ")</f>
        <v xml:space="preserve"> </v>
      </c>
      <c r="C53" s="4" t="str">
        <f>IF(A53&lt;('2. Inputs and results'!$C$21+1),'2. Inputs and results'!$C$99+'2. Inputs and results'!$C$101," ")</f>
        <v xml:space="preserve"> </v>
      </c>
      <c r="D53" s="4" t="e">
        <f>IF(A53&lt;('2. Inputs and results'!$C$21+1),D52+C53,NA())</f>
        <v>#N/A</v>
      </c>
      <c r="E53" s="4" t="str">
        <f>IF(A53&lt;('2. Inputs and results'!$C$21+1),C53/((1+$P$2)^A53)," ")</f>
        <v xml:space="preserve"> </v>
      </c>
      <c r="F53" s="4" t="str">
        <f>IF(B53&lt;('2. Inputs and results'!$C$21+1),F52+E53," ")</f>
        <v xml:space="preserve"> </v>
      </c>
      <c r="G53" s="4" t="str">
        <f>IF(A53&lt;('2. Inputs and results'!$C$21+1),G52*(1+'2. Inputs and results'!$C$46)," ")</f>
        <v xml:space="preserve"> </v>
      </c>
      <c r="H53" s="4" t="str">
        <f>IF(A53&lt;('2. Inputs and results'!$C$21+1),H52*(1+'2. Inputs and results'!$C$58)," ")</f>
        <v xml:space="preserve"> </v>
      </c>
      <c r="I53" s="4" t="str">
        <f>IF(A53&lt;('2. Inputs and results'!$C$21+1),I52*(1+'2. Inputs and results'!$C$34)," ")</f>
        <v xml:space="preserve"> </v>
      </c>
      <c r="J53" s="4" t="str">
        <f>IF(A53&lt;('2. Inputs and results'!$C$21+1),J52*(1+'2. Inputs and results'!$C$68)," ")</f>
        <v xml:space="preserve"> </v>
      </c>
      <c r="K53" s="4" t="e">
        <f>IF(A53&lt;('2. Inputs and results'!$C$21+1),K52+(G53+I53+H53+J53),NA())</f>
        <v>#N/A</v>
      </c>
      <c r="L53" s="4" t="e">
        <f>IF(A53&lt;('2. Inputs and results'!$C$21+1),L52,NA())</f>
        <v>#N/A</v>
      </c>
      <c r="M53" s="4" t="str">
        <f>IF(A53&lt;('2. Inputs and results'!$C$21+1),'2. Inputs and results'!$C$75*'2. Inputs and results'!$C$73," ")</f>
        <v xml:space="preserve"> </v>
      </c>
      <c r="N53" s="4" t="str">
        <f>IF(A53&lt;('2. Inputs and results'!$C$21+1),M53/((1+$P$2)^A53)," ")</f>
        <v xml:space="preserve"> </v>
      </c>
      <c r="O53" s="4" t="str">
        <f>IF(A53&lt;('2. Inputs and results'!$C$21+1),'2. Inputs and results'!$C$73*'2. Inputs and results'!$C$75+O52," ")</f>
        <v xml:space="preserve"> </v>
      </c>
      <c r="P53" s="4" t="str">
        <f>IF(A53&lt;('2. Inputs and results'!$C$21+1),(G53+I53+H53+J53)/((1+$P$2)^A53)," ")</f>
        <v xml:space="preserve"> </v>
      </c>
      <c r="Q53" s="4" t="str">
        <f>IF(A53&lt;('2. Inputs and results'!$C$21+1),Q52+P53," ")</f>
        <v xml:space="preserve"> </v>
      </c>
      <c r="R53" s="4" t="e">
        <f>IF(A53&lt;('2. Inputs and results'!$C$21+1),R52+G53+I53+H53+J53+T53-$V$6,NA())</f>
        <v>#N/A</v>
      </c>
      <c r="S53" s="4" t="str">
        <f>IF(A53&lt;('2. Inputs and results'!$C$21+1),'2. Inputs and results'!$C$79*(R52)," ")</f>
        <v xml:space="preserve"> </v>
      </c>
      <c r="T53" s="4">
        <f t="shared" si="1"/>
        <v>0</v>
      </c>
      <c r="U53" s="4" t="e">
        <f>IF(A53&lt;('2. Inputs and results'!$C$21+1),U52+((G53+I53+H53+J53-$V$6+T53)/((1+$P$2)^A53)),NA())</f>
        <v>#N/A</v>
      </c>
      <c r="V53" s="4" t="str">
        <f>IF(A53&lt;('2. Inputs and results'!$C$21+1),V52+('2. Inputs and results'!$C$75*'2. Inputs and results'!$C$73)," ")</f>
        <v xml:space="preserve"> </v>
      </c>
      <c r="W53" s="4" t="e">
        <f>IF(A53&lt;('2. Inputs and results'!$C$21+1),W52+C53+Y53-$V$6,NA())</f>
        <v>#N/A</v>
      </c>
      <c r="X53" s="4" t="str">
        <f>IF(A53&lt;('2. Inputs and results'!$C$21+1),'2. Inputs and results'!$C$79*(W52)," ")</f>
        <v xml:space="preserve"> </v>
      </c>
      <c r="Y53" s="4">
        <f t="shared" si="2"/>
        <v>0</v>
      </c>
      <c r="Z53" s="4" t="e">
        <f>IF(A53&lt;('2. Inputs and results'!$C$21+1),Z52+((C53-$V$6+Y53)/((1+$P$2)^A53)),NA())</f>
        <v>#N/A</v>
      </c>
      <c r="AA53" s="4" t="str">
        <f>IF(A53&lt;('2. Inputs and results'!$C$21+1),AA52+G53+I53+H53+T53-$V$6," ")</f>
        <v xml:space="preserve"> </v>
      </c>
      <c r="AB53" s="20" t="e">
        <f>IF(A53&lt;('2. Inputs and results'!$C$21+1),AA53/L53,NA())</f>
        <v>#N/A</v>
      </c>
      <c r="AC53" s="29" t="str">
        <f>IF(A53&lt;('2. Inputs and results'!$C$21+1),AC52+C53+Y53-$V$6," ")</f>
        <v xml:space="preserve"> </v>
      </c>
      <c r="AD53" s="20" t="e">
        <f>IF(A53&lt;('2. Inputs and results'!$C$21+1),AC53/L53,NA())</f>
        <v>#N/A</v>
      </c>
      <c r="AE53" t="str">
        <f>IF(A53&lt;('2. Inputs and results'!$C$21+1),-'2. Inputs and results'!$C$121*A53," ")</f>
        <v xml:space="preserve"> </v>
      </c>
      <c r="AF53" t="e">
        <f>IF(A53&lt;('2. Inputs and results'!$C$21+1),AE53/1000,NA())</f>
        <v>#N/A</v>
      </c>
    </row>
    <row r="54" spans="1:32" x14ac:dyDescent="0.25">
      <c r="A54">
        <f t="shared" si="0"/>
        <v>49</v>
      </c>
      <c r="B54" t="str">
        <f>IF(A54&lt;('2. Inputs and results'!$C$21+1),A54," ")</f>
        <v xml:space="preserve"> </v>
      </c>
      <c r="C54" s="4" t="str">
        <f>IF(A54&lt;('2. Inputs and results'!$C$21+1),'2. Inputs and results'!$C$99+'2. Inputs and results'!$C$101," ")</f>
        <v xml:space="preserve"> </v>
      </c>
      <c r="D54" s="4" t="e">
        <f>IF(A54&lt;('2. Inputs and results'!$C$21+1),D53+C54,NA())</f>
        <v>#N/A</v>
      </c>
      <c r="E54" s="4" t="str">
        <f>IF(A54&lt;('2. Inputs and results'!$C$21+1),C54/((1+$P$2)^A54)," ")</f>
        <v xml:space="preserve"> </v>
      </c>
      <c r="F54" s="4" t="str">
        <f>IF(B54&lt;('2. Inputs and results'!$C$21+1),F53+E54," ")</f>
        <v xml:space="preserve"> </v>
      </c>
      <c r="G54" s="4" t="str">
        <f>IF(A54&lt;('2. Inputs and results'!$C$21+1),G53*(1+'2. Inputs and results'!$C$46)," ")</f>
        <v xml:space="preserve"> </v>
      </c>
      <c r="H54" s="4" t="str">
        <f>IF(A54&lt;('2. Inputs and results'!$C$21+1),H53*(1+'2. Inputs and results'!$C$58)," ")</f>
        <v xml:space="preserve"> </v>
      </c>
      <c r="I54" s="4" t="str">
        <f>IF(A54&lt;('2. Inputs and results'!$C$21+1),I53*(1+'2. Inputs and results'!$C$34)," ")</f>
        <v xml:space="preserve"> </v>
      </c>
      <c r="J54" s="4" t="str">
        <f>IF(A54&lt;('2. Inputs and results'!$C$21+1),J53*(1+'2. Inputs and results'!$C$68)," ")</f>
        <v xml:space="preserve"> </v>
      </c>
      <c r="K54" s="4" t="e">
        <f>IF(A54&lt;('2. Inputs and results'!$C$21+1),K53+(G54+I54+H54+J54),NA())</f>
        <v>#N/A</v>
      </c>
      <c r="L54" s="4" t="e">
        <f>IF(A54&lt;('2. Inputs and results'!$C$21+1),L53,NA())</f>
        <v>#N/A</v>
      </c>
      <c r="M54" s="4" t="str">
        <f>IF(A54&lt;('2. Inputs and results'!$C$21+1),'2. Inputs and results'!$C$75*'2. Inputs and results'!$C$73," ")</f>
        <v xml:space="preserve"> </v>
      </c>
      <c r="N54" s="4" t="str">
        <f>IF(A54&lt;('2. Inputs and results'!$C$21+1),M54/((1+$P$2)^A54)," ")</f>
        <v xml:space="preserve"> </v>
      </c>
      <c r="O54" s="4" t="str">
        <f>IF(A54&lt;('2. Inputs and results'!$C$21+1),'2. Inputs and results'!$C$73*'2. Inputs and results'!$C$75+O53," ")</f>
        <v xml:space="preserve"> </v>
      </c>
      <c r="P54" s="4" t="str">
        <f>IF(A54&lt;('2. Inputs and results'!$C$21+1),(G54+I54+H54+J54)/((1+$P$2)^A54)," ")</f>
        <v xml:space="preserve"> </v>
      </c>
      <c r="Q54" s="4" t="str">
        <f>IF(A54&lt;('2. Inputs and results'!$C$21+1),Q53+P54," ")</f>
        <v xml:space="preserve"> </v>
      </c>
      <c r="R54" s="4" t="e">
        <f>IF(A54&lt;('2. Inputs and results'!$C$21+1),R53+G54+I54+H54+J54+T54-$V$6,NA())</f>
        <v>#N/A</v>
      </c>
      <c r="S54" s="4" t="str">
        <f>IF(A54&lt;('2. Inputs and results'!$C$21+1),'2. Inputs and results'!$C$79*(R53)," ")</f>
        <v xml:space="preserve"> </v>
      </c>
      <c r="T54" s="4">
        <f t="shared" si="1"/>
        <v>0</v>
      </c>
      <c r="U54" s="4" t="e">
        <f>IF(A54&lt;('2. Inputs and results'!$C$21+1),U53+((G54+I54+H54+J54-$V$6+T54)/((1+$P$2)^A54)),NA())</f>
        <v>#N/A</v>
      </c>
      <c r="V54" s="4" t="str">
        <f>IF(A54&lt;('2. Inputs and results'!$C$21+1),V53+('2. Inputs and results'!$C$75*'2. Inputs and results'!$C$73)," ")</f>
        <v xml:space="preserve"> </v>
      </c>
      <c r="W54" s="4" t="e">
        <f>IF(A54&lt;('2. Inputs and results'!$C$21+1),W53+C54+Y54-$V$6,NA())</f>
        <v>#N/A</v>
      </c>
      <c r="X54" s="4" t="str">
        <f>IF(A54&lt;('2. Inputs and results'!$C$21+1),'2. Inputs and results'!$C$79*(W53)," ")</f>
        <v xml:space="preserve"> </v>
      </c>
      <c r="Y54" s="4">
        <f t="shared" si="2"/>
        <v>0</v>
      </c>
      <c r="Z54" s="4" t="e">
        <f>IF(A54&lt;('2. Inputs and results'!$C$21+1),Z53+((C54-$V$6+Y54)/((1+$P$2)^A54)),NA())</f>
        <v>#N/A</v>
      </c>
      <c r="AA54" s="4" t="str">
        <f>IF(A54&lt;('2. Inputs and results'!$C$21+1),AA53+G54+I54+H54+T54-$V$6," ")</f>
        <v xml:space="preserve"> </v>
      </c>
      <c r="AB54" s="20" t="e">
        <f>IF(A54&lt;('2. Inputs and results'!$C$21+1),AA54/L54,NA())</f>
        <v>#N/A</v>
      </c>
      <c r="AC54" s="29" t="str">
        <f>IF(A54&lt;('2. Inputs and results'!$C$21+1),AC53+C54+Y54-$V$6," ")</f>
        <v xml:space="preserve"> </v>
      </c>
      <c r="AD54" s="20" t="e">
        <f>IF(A54&lt;('2. Inputs and results'!$C$21+1),AC54/L54,NA())</f>
        <v>#N/A</v>
      </c>
      <c r="AE54" t="str">
        <f>IF(A54&lt;('2. Inputs and results'!$C$21+1),-'2. Inputs and results'!$C$121*A54," ")</f>
        <v xml:space="preserve"> </v>
      </c>
      <c r="AF54" t="e">
        <f>IF(A54&lt;('2. Inputs and results'!$C$21+1),AE54/1000,NA())</f>
        <v>#N/A</v>
      </c>
    </row>
    <row r="55" spans="1:32" x14ac:dyDescent="0.25">
      <c r="A55">
        <f t="shared" si="0"/>
        <v>50</v>
      </c>
      <c r="B55" t="str">
        <f>IF(A55&lt;('2. Inputs and results'!$C$21+1),A55," ")</f>
        <v xml:space="preserve"> </v>
      </c>
      <c r="C55" s="4" t="str">
        <f>IF(A55&lt;('2. Inputs and results'!$C$21+1),'2. Inputs and results'!$C$99+'2. Inputs and results'!$C$101," ")</f>
        <v xml:space="preserve"> </v>
      </c>
      <c r="D55" s="4" t="e">
        <f>IF(A55&lt;('2. Inputs and results'!$C$21+1),D54+C55,NA())</f>
        <v>#N/A</v>
      </c>
      <c r="E55" s="4" t="str">
        <f>IF(A55&lt;('2. Inputs and results'!$C$21+1),C55/((1+$P$2)^A55)," ")</f>
        <v xml:space="preserve"> </v>
      </c>
      <c r="F55" s="4" t="str">
        <f>IF(B55&lt;('2. Inputs and results'!$C$21+1),F54+E55," ")</f>
        <v xml:space="preserve"> </v>
      </c>
      <c r="G55" s="4" t="str">
        <f>IF(A55&lt;('2. Inputs and results'!$C$21+1),G54*(1+'2. Inputs and results'!$C$46)," ")</f>
        <v xml:space="preserve"> </v>
      </c>
      <c r="H55" s="4" t="str">
        <f>IF(A55&lt;('2. Inputs and results'!$C$21+1),H54*(1+'2. Inputs and results'!$C$58)," ")</f>
        <v xml:space="preserve"> </v>
      </c>
      <c r="I55" s="4" t="str">
        <f>IF(A55&lt;('2. Inputs and results'!$C$21+1),I54*(1+'2. Inputs and results'!$C$34)," ")</f>
        <v xml:space="preserve"> </v>
      </c>
      <c r="J55" s="4" t="str">
        <f>IF(A55&lt;('2. Inputs and results'!$C$21+1),J54*(1+'2. Inputs and results'!$C$68)," ")</f>
        <v xml:space="preserve"> </v>
      </c>
      <c r="K55" s="4" t="e">
        <f>IF(A55&lt;('2. Inputs and results'!$C$21+1),K54+(G55+I55+H55+J55),NA())</f>
        <v>#N/A</v>
      </c>
      <c r="L55" s="4" t="e">
        <f>IF(A55&lt;('2. Inputs and results'!$C$21+1),L54,NA())</f>
        <v>#N/A</v>
      </c>
      <c r="M55" s="4" t="str">
        <f>IF(A55&lt;('2. Inputs and results'!$C$21+1),'2. Inputs and results'!$C$75*'2. Inputs and results'!$C$73," ")</f>
        <v xml:space="preserve"> </v>
      </c>
      <c r="N55" s="4" t="str">
        <f>IF(A55&lt;('2. Inputs and results'!$C$21+1),M55/((1+$P$2)^A55)," ")</f>
        <v xml:space="preserve"> </v>
      </c>
      <c r="O55" s="4" t="str">
        <f>IF(A55&lt;('2. Inputs and results'!$C$21+1),'2. Inputs and results'!$C$73*'2. Inputs and results'!$C$75+O54," ")</f>
        <v xml:space="preserve"> </v>
      </c>
      <c r="P55" s="4" t="str">
        <f>IF(A55&lt;('2. Inputs and results'!$C$21+1),(G55+I55+H55+J55)/((1+$P$2)^A55)," ")</f>
        <v xml:space="preserve"> </v>
      </c>
      <c r="Q55" s="4" t="str">
        <f>IF(A55&lt;('2. Inputs and results'!$C$21+1),Q54+P55," ")</f>
        <v xml:space="preserve"> </v>
      </c>
      <c r="R55" s="4" t="e">
        <f>IF(A55&lt;('2. Inputs and results'!$C$21+1),R54+G55+I55+H55+J55+T55-$V$6,NA())</f>
        <v>#N/A</v>
      </c>
      <c r="S55" s="4" t="str">
        <f>IF(A55&lt;('2. Inputs and results'!$C$21+1),'2. Inputs and results'!$C$79*(R54)," ")</f>
        <v xml:space="preserve"> </v>
      </c>
      <c r="T55" s="4">
        <f t="shared" si="1"/>
        <v>0</v>
      </c>
      <c r="U55" s="4" t="e">
        <f>IF(A55&lt;('2. Inputs and results'!$C$21+1),U54+((G55+I55+H55+J55-$V$6+T55)/((1+$P$2)^A55)),NA())</f>
        <v>#N/A</v>
      </c>
      <c r="V55" s="4" t="str">
        <f>IF(A55&lt;('2. Inputs and results'!$C$21+1),V54+('2. Inputs and results'!$C$75*'2. Inputs and results'!$C$73)," ")</f>
        <v xml:space="preserve"> </v>
      </c>
      <c r="W55" s="4" t="e">
        <f>IF(A55&lt;('2. Inputs and results'!$C$21+1),W54+C55+Y55-$V$6,NA())</f>
        <v>#N/A</v>
      </c>
      <c r="X55" s="4" t="str">
        <f>IF(A55&lt;('2. Inputs and results'!$C$21+1),'2. Inputs and results'!$C$79*(W54)," ")</f>
        <v xml:space="preserve"> </v>
      </c>
      <c r="Y55" s="4">
        <f t="shared" si="2"/>
        <v>0</v>
      </c>
      <c r="Z55" s="4" t="e">
        <f>IF(A55&lt;('2. Inputs and results'!$C$21+1),Z54+((C55-$V$6+Y55)/((1+$P$2)^A55)),NA())</f>
        <v>#N/A</v>
      </c>
      <c r="AA55" s="4" t="str">
        <f>IF(A55&lt;('2. Inputs and results'!$C$21+1),AA54+G55+I55+H55+T55-$V$6," ")</f>
        <v xml:space="preserve"> </v>
      </c>
      <c r="AB55" s="20" t="e">
        <f>IF(A55&lt;('2. Inputs and results'!$C$21+1),AA55/L55,NA())</f>
        <v>#N/A</v>
      </c>
      <c r="AC55" s="29" t="str">
        <f>IF(A55&lt;('2. Inputs and results'!$C$21+1),AC54+C55+Y55-$V$6," ")</f>
        <v xml:space="preserve"> </v>
      </c>
      <c r="AD55" s="20" t="e">
        <f>IF(A55&lt;('2. Inputs and results'!$C$21+1),AC55/L55,NA())</f>
        <v>#N/A</v>
      </c>
      <c r="AE55" t="str">
        <f>IF(A55&lt;('2. Inputs and results'!$C$21+1),-'2. Inputs and results'!$C$121*A55," ")</f>
        <v xml:space="preserve"> </v>
      </c>
      <c r="AF55" t="e">
        <f>IF(A55&lt;('2. Inputs and results'!$C$21+1),AE55/1000,NA())</f>
        <v>#N/A</v>
      </c>
    </row>
    <row r="56" spans="1:32" x14ac:dyDescent="0.25">
      <c r="G56" s="4"/>
      <c r="H56" s="4"/>
      <c r="I56" s="4"/>
      <c r="J56" s="4"/>
      <c r="R56" s="4"/>
    </row>
  </sheetData>
  <sheetProtection sheet="1" objects="1" scenarios="1"/>
  <conditionalFormatting sqref="D6:D55">
    <cfRule type="containsText" dxfId="2" priority="3" operator="containsText" text="#PUUTTUU!">
      <formula>NOT(ISERROR(SEARCH("#PUUTTUU!",D6)))</formula>
    </cfRule>
  </conditionalFormatting>
  <conditionalFormatting sqref="A5:AA6 R56 D8:F55 D7:T7 A7:C55 G8:J56 K8:T55 U7:AA55">
    <cfRule type="containsErrors" dxfId="1" priority="2">
      <formula>ISERROR(A5)</formula>
    </cfRule>
  </conditionalFormatting>
  <conditionalFormatting sqref="A5:AF6 R56 D8:F55 D7:T7 A7:C55 G8:J56 K8:T55 U7:AF55">
    <cfRule type="containsErrors" dxfId="0" priority="1">
      <formula>ISERROR(A5)</formula>
    </cfRule>
  </conditionalFormatting>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15"/>
  <sheetViews>
    <sheetView showGridLines="0" tabSelected="1" zoomScaleNormal="100" workbookViewId="0">
      <selection activeCell="T7" sqref="T7"/>
    </sheetView>
  </sheetViews>
  <sheetFormatPr defaultRowHeight="15" x14ac:dyDescent="0.25"/>
  <cols>
    <col min="1" max="1" width="8.7109375" customWidth="1"/>
  </cols>
  <sheetData>
    <row r="1" spans="1:35" s="39" customFormat="1" ht="77.099999999999994" customHeight="1" thickBot="1" x14ac:dyDescent="0.5">
      <c r="A1" s="210"/>
      <c r="B1" s="210"/>
      <c r="C1" s="210"/>
      <c r="D1" s="210"/>
      <c r="E1" s="210"/>
      <c r="F1" s="210"/>
      <c r="G1" s="210"/>
      <c r="H1" s="210"/>
      <c r="I1" s="210"/>
      <c r="J1" s="303" t="s">
        <v>306</v>
      </c>
      <c r="K1" s="210"/>
      <c r="L1" s="210"/>
      <c r="M1" s="210"/>
      <c r="N1" s="210"/>
      <c r="O1" s="210"/>
      <c r="P1" s="210"/>
      <c r="Q1" s="201"/>
      <c r="S1" s="155"/>
      <c r="T1" s="155"/>
      <c r="U1" s="155"/>
      <c r="V1" s="155"/>
      <c r="W1" s="155"/>
      <c r="X1" s="155"/>
      <c r="Y1" s="155"/>
      <c r="Z1" s="155"/>
      <c r="AA1" s="155"/>
      <c r="AB1" s="155"/>
      <c r="AC1" s="155"/>
      <c r="AD1" s="155"/>
      <c r="AE1" s="155"/>
      <c r="AF1" s="155"/>
      <c r="AG1" s="155"/>
      <c r="AH1" s="155"/>
      <c r="AI1" s="155"/>
    </row>
    <row r="2" spans="1:35" s="39" customFormat="1" ht="27" thickBot="1" x14ac:dyDescent="0.45">
      <c r="A2" s="292" t="s">
        <v>163</v>
      </c>
      <c r="B2" s="293"/>
      <c r="C2" s="293"/>
      <c r="D2" s="293"/>
      <c r="E2" s="293"/>
      <c r="F2" s="293"/>
      <c r="G2" s="293"/>
      <c r="H2" s="293"/>
      <c r="I2" s="293"/>
      <c r="J2" s="293"/>
      <c r="K2" s="293"/>
      <c r="L2" s="293"/>
      <c r="M2" s="293"/>
      <c r="N2" s="293"/>
      <c r="O2" s="293"/>
      <c r="P2" s="293"/>
      <c r="Q2" s="294"/>
      <c r="R2" s="155"/>
      <c r="S2" s="155"/>
      <c r="T2" s="155"/>
      <c r="U2" s="155"/>
      <c r="V2" s="155"/>
      <c r="W2" s="155"/>
      <c r="X2" s="155"/>
      <c r="Y2" s="155"/>
      <c r="Z2" s="155"/>
      <c r="AA2" s="155"/>
      <c r="AB2" s="155"/>
      <c r="AC2" s="155"/>
      <c r="AD2" s="155"/>
      <c r="AE2" s="155"/>
      <c r="AF2" s="155"/>
      <c r="AG2" s="155"/>
      <c r="AH2" s="155"/>
      <c r="AI2" s="155"/>
    </row>
    <row r="3" spans="1:35" s="39" customFormat="1" ht="15.75" thickBot="1" x14ac:dyDescent="0.3">
      <c r="A3" s="211"/>
      <c r="B3" s="211"/>
      <c r="C3" s="211"/>
      <c r="D3" s="211"/>
      <c r="E3" s="211"/>
      <c r="F3" s="211"/>
      <c r="G3" s="211"/>
      <c r="H3" s="211"/>
      <c r="I3" s="211"/>
      <c r="J3" s="211"/>
      <c r="K3" s="211"/>
      <c r="L3" s="211"/>
      <c r="M3" s="211"/>
      <c r="N3" s="211"/>
      <c r="O3" s="211"/>
      <c r="P3" s="211"/>
      <c r="Q3" s="155"/>
      <c r="R3" s="155"/>
      <c r="S3" s="155"/>
      <c r="T3" s="155"/>
      <c r="U3" s="155"/>
      <c r="V3" s="155"/>
      <c r="W3" s="155"/>
      <c r="X3" s="155"/>
      <c r="Y3" s="155"/>
      <c r="Z3" s="155"/>
      <c r="AA3" s="155"/>
      <c r="AB3" s="155"/>
      <c r="AC3" s="155"/>
      <c r="AD3" s="155"/>
      <c r="AE3" s="155"/>
      <c r="AF3" s="155"/>
      <c r="AG3" s="155"/>
      <c r="AH3" s="155"/>
      <c r="AI3" s="155"/>
    </row>
    <row r="4" spans="1:35" ht="19.5" thickBot="1" x14ac:dyDescent="0.3">
      <c r="A4" s="81" t="s">
        <v>164</v>
      </c>
      <c r="B4" s="82"/>
      <c r="C4" s="82"/>
      <c r="D4" s="82"/>
      <c r="E4" s="82"/>
      <c r="F4" s="82"/>
      <c r="G4" s="82"/>
      <c r="H4" s="82"/>
      <c r="I4" s="82"/>
      <c r="J4" s="82"/>
      <c r="K4" s="82"/>
      <c r="L4" s="82"/>
      <c r="M4" s="82"/>
      <c r="N4" s="82"/>
      <c r="O4" s="82"/>
      <c r="P4" s="82"/>
      <c r="Q4" s="76"/>
      <c r="R4" s="155"/>
      <c r="S4" s="155"/>
      <c r="T4" s="155"/>
      <c r="U4" s="155"/>
      <c r="V4" s="155"/>
      <c r="W4" s="155"/>
      <c r="X4" s="155"/>
      <c r="Y4" s="155"/>
      <c r="Z4" s="155"/>
      <c r="AA4" s="155"/>
      <c r="AB4" s="155"/>
      <c r="AC4" s="155"/>
      <c r="AD4" s="155"/>
      <c r="AE4" s="155"/>
      <c r="AF4" s="155"/>
      <c r="AG4" s="155"/>
      <c r="AH4" s="155"/>
      <c r="AI4" s="155"/>
    </row>
    <row r="5" spans="1:35" ht="15.75" thickBot="1" x14ac:dyDescent="0.3">
      <c r="A5" s="212"/>
      <c r="B5" s="211"/>
      <c r="C5" s="211"/>
      <c r="D5" s="211"/>
      <c r="E5" s="211"/>
      <c r="F5" s="211"/>
      <c r="G5" s="211"/>
      <c r="H5" s="211"/>
      <c r="I5" s="211"/>
      <c r="J5" s="211"/>
      <c r="K5" s="211"/>
      <c r="L5" s="211"/>
      <c r="M5" s="211"/>
      <c r="N5" s="211"/>
      <c r="O5" s="211"/>
      <c r="P5" s="211"/>
      <c r="Q5" s="155"/>
      <c r="R5" s="155"/>
      <c r="S5" s="155"/>
      <c r="T5" s="155"/>
      <c r="U5" s="155"/>
      <c r="V5" s="155"/>
      <c r="W5" s="155"/>
      <c r="X5" s="155"/>
      <c r="Y5" s="155"/>
      <c r="Z5" s="155"/>
      <c r="AA5" s="155"/>
      <c r="AB5" s="155"/>
      <c r="AC5" s="155"/>
      <c r="AD5" s="155"/>
      <c r="AE5" s="155"/>
      <c r="AF5" s="155"/>
      <c r="AG5" s="155"/>
      <c r="AH5" s="155"/>
      <c r="AI5" s="155"/>
    </row>
    <row r="6" spans="1:35" ht="18.75" x14ac:dyDescent="0.25">
      <c r="A6" s="83" t="s">
        <v>165</v>
      </c>
      <c r="B6" s="84"/>
      <c r="C6" s="84"/>
      <c r="D6" s="84"/>
      <c r="E6" s="84"/>
      <c r="F6" s="84"/>
      <c r="G6" s="84"/>
      <c r="H6" s="84"/>
      <c r="I6" s="84"/>
      <c r="J6" s="84"/>
      <c r="K6" s="84"/>
      <c r="L6" s="84"/>
      <c r="M6" s="84"/>
      <c r="N6" s="84"/>
      <c r="O6" s="84"/>
      <c r="P6" s="84"/>
      <c r="Q6" s="73"/>
      <c r="R6" s="155"/>
      <c r="S6" s="155"/>
      <c r="T6" s="155"/>
      <c r="U6" s="155"/>
      <c r="V6" s="155"/>
      <c r="W6" s="155"/>
      <c r="X6" s="155"/>
      <c r="Y6" s="155"/>
      <c r="Z6" s="155"/>
      <c r="AA6" s="155"/>
      <c r="AB6" s="155"/>
      <c r="AC6" s="155"/>
      <c r="AD6" s="155"/>
      <c r="AE6" s="155"/>
      <c r="AF6" s="155"/>
      <c r="AG6" s="155"/>
      <c r="AH6" s="155"/>
      <c r="AI6" s="155"/>
    </row>
    <row r="7" spans="1:35" s="39" customFormat="1" x14ac:dyDescent="0.25">
      <c r="A7" s="85"/>
      <c r="B7" s="86"/>
      <c r="C7" s="86"/>
      <c r="D7" s="86"/>
      <c r="E7" s="86"/>
      <c r="F7" s="86"/>
      <c r="G7" s="86"/>
      <c r="H7" s="86"/>
      <c r="I7" s="86"/>
      <c r="J7" s="86"/>
      <c r="K7" s="86"/>
      <c r="L7" s="86"/>
      <c r="M7" s="86"/>
      <c r="N7" s="86"/>
      <c r="O7" s="86"/>
      <c r="P7" s="86"/>
      <c r="Q7" s="74"/>
      <c r="R7" s="155"/>
      <c r="S7" s="155"/>
      <c r="T7" s="155"/>
      <c r="U7" s="155"/>
      <c r="V7" s="155"/>
      <c r="W7" s="155"/>
      <c r="X7" s="155"/>
      <c r="Y7" s="155"/>
      <c r="Z7" s="155"/>
      <c r="AA7" s="155"/>
      <c r="AB7" s="155"/>
      <c r="AC7" s="155"/>
      <c r="AD7" s="155"/>
      <c r="AE7" s="155"/>
      <c r="AF7" s="155"/>
      <c r="AG7" s="155"/>
      <c r="AH7" s="155"/>
      <c r="AI7" s="155"/>
    </row>
    <row r="8" spans="1:35" x14ac:dyDescent="0.25">
      <c r="A8" s="105" t="s">
        <v>265</v>
      </c>
      <c r="B8" s="86"/>
      <c r="C8" s="86"/>
      <c r="D8" s="86"/>
      <c r="E8" s="86"/>
      <c r="F8" s="86"/>
      <c r="G8" s="86"/>
      <c r="H8" s="86"/>
      <c r="I8" s="86"/>
      <c r="J8" s="86"/>
      <c r="K8" s="86"/>
      <c r="L8" s="86"/>
      <c r="M8" s="86"/>
      <c r="N8" s="86"/>
      <c r="O8" s="86"/>
      <c r="P8" s="86"/>
      <c r="Q8" s="74"/>
      <c r="R8" s="155"/>
      <c r="S8" s="155"/>
      <c r="T8" s="155"/>
      <c r="U8" s="155"/>
      <c r="V8" s="155"/>
      <c r="W8" s="155"/>
      <c r="X8" s="155"/>
      <c r="Y8" s="155"/>
      <c r="Z8" s="155"/>
      <c r="AA8" s="155"/>
      <c r="AB8" s="155"/>
      <c r="AC8" s="155"/>
      <c r="AD8" s="155"/>
      <c r="AE8" s="155"/>
      <c r="AF8" s="155"/>
      <c r="AG8" s="155"/>
      <c r="AH8" s="155"/>
      <c r="AI8" s="155"/>
    </row>
    <row r="9" spans="1:35" s="39" customFormat="1" x14ac:dyDescent="0.25">
      <c r="A9" s="105"/>
      <c r="B9" s="86"/>
      <c r="C9" s="86"/>
      <c r="D9" s="86"/>
      <c r="E9" s="86"/>
      <c r="F9" s="86"/>
      <c r="G9" s="86"/>
      <c r="H9" s="86"/>
      <c r="I9" s="86"/>
      <c r="J9" s="86"/>
      <c r="K9" s="86"/>
      <c r="L9" s="86"/>
      <c r="M9" s="86"/>
      <c r="N9" s="86"/>
      <c r="O9" s="86"/>
      <c r="P9" s="86"/>
      <c r="Q9" s="74"/>
      <c r="R9" s="155"/>
      <c r="S9" s="155"/>
      <c r="T9" s="155"/>
      <c r="U9" s="155"/>
      <c r="V9" s="155"/>
      <c r="W9" s="155"/>
      <c r="X9" s="155"/>
      <c r="Y9" s="155"/>
      <c r="Z9" s="155"/>
      <c r="AA9" s="155"/>
      <c r="AB9" s="155"/>
      <c r="AC9" s="155"/>
      <c r="AD9" s="155"/>
      <c r="AE9" s="155"/>
      <c r="AF9" s="155"/>
      <c r="AG9" s="155"/>
      <c r="AH9" s="155"/>
      <c r="AI9" s="155"/>
    </row>
    <row r="10" spans="1:35" x14ac:dyDescent="0.25">
      <c r="A10" s="105" t="s">
        <v>178</v>
      </c>
      <c r="B10" s="86"/>
      <c r="C10" s="86"/>
      <c r="D10" s="86"/>
      <c r="E10" s="86"/>
      <c r="F10" s="86"/>
      <c r="G10" s="86"/>
      <c r="H10" s="86"/>
      <c r="I10" s="86"/>
      <c r="J10" s="86"/>
      <c r="K10" s="86"/>
      <c r="L10" s="86"/>
      <c r="M10" s="86"/>
      <c r="N10" s="86"/>
      <c r="O10" s="86"/>
      <c r="P10" s="86"/>
      <c r="Q10" s="74"/>
      <c r="R10" s="155"/>
      <c r="S10" s="155"/>
      <c r="T10" s="155"/>
      <c r="U10" s="155"/>
      <c r="V10" s="155"/>
      <c r="W10" s="155"/>
      <c r="X10" s="155"/>
      <c r="Y10" s="155"/>
      <c r="Z10" s="155"/>
      <c r="AA10" s="155"/>
      <c r="AB10" s="155"/>
      <c r="AC10" s="155"/>
      <c r="AD10" s="155"/>
      <c r="AE10" s="155"/>
      <c r="AF10" s="155"/>
      <c r="AG10" s="155"/>
      <c r="AH10" s="155"/>
      <c r="AI10" s="155"/>
    </row>
    <row r="11" spans="1:35" s="39" customFormat="1" x14ac:dyDescent="0.25">
      <c r="A11" s="105"/>
      <c r="B11" s="86"/>
      <c r="C11" s="86"/>
      <c r="D11" s="86"/>
      <c r="E11" s="86"/>
      <c r="F11" s="86"/>
      <c r="G11" s="86"/>
      <c r="H11" s="86"/>
      <c r="I11" s="86"/>
      <c r="J11" s="86"/>
      <c r="K11" s="86"/>
      <c r="L11" s="86"/>
      <c r="M11" s="86"/>
      <c r="N11" s="86"/>
      <c r="O11" s="86"/>
      <c r="P11" s="86"/>
      <c r="Q11" s="74"/>
      <c r="R11" s="155"/>
      <c r="S11" s="155"/>
      <c r="T11" s="155"/>
      <c r="U11" s="155"/>
      <c r="V11" s="155"/>
      <c r="W11" s="155"/>
      <c r="X11" s="155"/>
      <c r="Y11" s="155"/>
      <c r="Z11" s="155"/>
      <c r="AA11" s="155"/>
      <c r="AB11" s="155"/>
      <c r="AC11" s="155"/>
      <c r="AD11" s="155"/>
      <c r="AE11" s="155"/>
      <c r="AF11" s="155"/>
      <c r="AG11" s="155"/>
      <c r="AH11" s="155"/>
      <c r="AI11" s="155"/>
    </row>
    <row r="12" spans="1:35" s="39" customFormat="1" x14ac:dyDescent="0.25">
      <c r="A12" s="102" t="s">
        <v>232</v>
      </c>
      <c r="B12" s="86"/>
      <c r="C12" s="86"/>
      <c r="D12" s="86"/>
      <c r="E12" s="86"/>
      <c r="F12" s="86"/>
      <c r="G12" s="86"/>
      <c r="H12" s="86"/>
      <c r="I12" s="86"/>
      <c r="J12" s="86"/>
      <c r="K12" s="86"/>
      <c r="L12" s="86"/>
      <c r="M12" s="86"/>
      <c r="N12" s="86"/>
      <c r="O12" s="86"/>
      <c r="P12" s="86"/>
      <c r="Q12" s="74"/>
      <c r="R12" s="155"/>
      <c r="S12" s="155"/>
      <c r="T12" s="155"/>
      <c r="U12" s="155"/>
      <c r="V12" s="155"/>
      <c r="W12" s="155"/>
      <c r="X12" s="155"/>
      <c r="Y12" s="155"/>
      <c r="Z12" s="155"/>
      <c r="AA12" s="155"/>
      <c r="AB12" s="155"/>
      <c r="AC12" s="155"/>
      <c r="AD12" s="155"/>
      <c r="AE12" s="155"/>
      <c r="AF12" s="155"/>
      <c r="AG12" s="155"/>
      <c r="AH12" s="155"/>
      <c r="AI12" s="155"/>
    </row>
    <row r="13" spans="1:35" s="39" customFormat="1" x14ac:dyDescent="0.25">
      <c r="A13" s="102"/>
      <c r="B13" s="86"/>
      <c r="C13" s="86"/>
      <c r="D13" s="86"/>
      <c r="E13" s="86"/>
      <c r="F13" s="86"/>
      <c r="G13" s="86"/>
      <c r="H13" s="86"/>
      <c r="I13" s="86"/>
      <c r="J13" s="86"/>
      <c r="K13" s="86"/>
      <c r="L13" s="86"/>
      <c r="M13" s="86"/>
      <c r="N13" s="86"/>
      <c r="O13" s="86"/>
      <c r="P13" s="86"/>
      <c r="Q13" s="74"/>
      <c r="R13" s="155"/>
      <c r="S13" s="155"/>
      <c r="T13" s="155"/>
      <c r="U13" s="155"/>
      <c r="V13" s="155"/>
      <c r="W13" s="155"/>
      <c r="X13" s="155"/>
      <c r="Y13" s="155"/>
      <c r="Z13" s="155"/>
      <c r="AA13" s="155"/>
      <c r="AB13" s="155"/>
      <c r="AC13" s="155"/>
      <c r="AD13" s="155"/>
      <c r="AE13" s="155"/>
      <c r="AF13" s="155"/>
      <c r="AG13" s="155"/>
      <c r="AH13" s="155"/>
      <c r="AI13" s="155"/>
    </row>
    <row r="14" spans="1:35" s="39" customFormat="1" x14ac:dyDescent="0.25">
      <c r="A14" s="102" t="s">
        <v>253</v>
      </c>
      <c r="B14" s="86"/>
      <c r="C14" s="86"/>
      <c r="D14" s="86"/>
      <c r="E14" s="86"/>
      <c r="F14" s="86"/>
      <c r="G14" s="86"/>
      <c r="H14" s="86"/>
      <c r="I14" s="86"/>
      <c r="J14" s="86"/>
      <c r="K14" s="86"/>
      <c r="L14" s="86"/>
      <c r="M14" s="86"/>
      <c r="N14" s="86"/>
      <c r="O14" s="86"/>
      <c r="P14" s="86"/>
      <c r="Q14" s="74"/>
      <c r="R14" s="155"/>
      <c r="S14" s="155"/>
      <c r="T14" s="155"/>
      <c r="U14" s="155"/>
      <c r="V14" s="155"/>
      <c r="W14" s="155"/>
      <c r="X14" s="155"/>
      <c r="Y14" s="155"/>
      <c r="Z14" s="155"/>
      <c r="AA14" s="155"/>
      <c r="AB14" s="155"/>
      <c r="AC14" s="155"/>
      <c r="AD14" s="155"/>
      <c r="AE14" s="155"/>
      <c r="AF14" s="155"/>
      <c r="AG14" s="155"/>
      <c r="AH14" s="155"/>
      <c r="AI14" s="155"/>
    </row>
    <row r="15" spans="1:35" s="39" customFormat="1" x14ac:dyDescent="0.25">
      <c r="A15" s="102"/>
      <c r="B15" s="86"/>
      <c r="C15" s="86"/>
      <c r="D15" s="86"/>
      <c r="E15" s="86"/>
      <c r="F15" s="86"/>
      <c r="G15" s="86"/>
      <c r="H15" s="86"/>
      <c r="I15" s="86"/>
      <c r="J15" s="86"/>
      <c r="K15" s="86"/>
      <c r="L15" s="86"/>
      <c r="M15" s="86"/>
      <c r="N15" s="86"/>
      <c r="O15" s="86"/>
      <c r="P15" s="86"/>
      <c r="Q15" s="74"/>
      <c r="R15" s="155"/>
      <c r="S15" s="155"/>
      <c r="T15" s="155"/>
      <c r="U15" s="155"/>
      <c r="V15" s="155"/>
      <c r="W15" s="155"/>
      <c r="X15" s="155"/>
      <c r="Y15" s="155"/>
      <c r="Z15" s="155"/>
      <c r="AA15" s="155"/>
      <c r="AB15" s="155"/>
      <c r="AC15" s="155"/>
      <c r="AD15" s="155"/>
      <c r="AE15" s="155"/>
      <c r="AF15" s="155"/>
      <c r="AG15" s="155"/>
      <c r="AH15" s="155"/>
      <c r="AI15" s="155"/>
    </row>
    <row r="16" spans="1:35" s="39" customFormat="1" x14ac:dyDescent="0.25">
      <c r="A16" s="150" t="s">
        <v>266</v>
      </c>
      <c r="B16" s="86"/>
      <c r="C16" s="86"/>
      <c r="D16" s="86"/>
      <c r="E16" s="86"/>
      <c r="F16" s="86"/>
      <c r="G16" s="86"/>
      <c r="H16" s="86"/>
      <c r="I16" s="86"/>
      <c r="J16" s="86"/>
      <c r="K16" s="86"/>
      <c r="L16" s="86"/>
      <c r="M16" s="86"/>
      <c r="N16" s="86"/>
      <c r="O16" s="86"/>
      <c r="P16" s="86"/>
      <c r="Q16" s="74"/>
      <c r="R16" s="155"/>
      <c r="S16" s="155"/>
      <c r="T16" s="155"/>
      <c r="U16" s="155"/>
      <c r="V16" s="155"/>
      <c r="W16" s="155"/>
      <c r="X16" s="155"/>
      <c r="Y16" s="155"/>
      <c r="Z16" s="155"/>
      <c r="AA16" s="155"/>
      <c r="AB16" s="155"/>
      <c r="AC16" s="155"/>
      <c r="AD16" s="155"/>
      <c r="AE16" s="155"/>
      <c r="AF16" s="155"/>
      <c r="AG16" s="155"/>
      <c r="AH16" s="155"/>
      <c r="AI16" s="155"/>
    </row>
    <row r="17" spans="1:35" x14ac:dyDescent="0.25">
      <c r="A17" s="88" t="s">
        <v>168</v>
      </c>
      <c r="B17" s="86"/>
      <c r="C17" s="86"/>
      <c r="D17" s="86"/>
      <c r="E17" s="86"/>
      <c r="F17" s="86"/>
      <c r="G17" s="86"/>
      <c r="H17" s="86"/>
      <c r="I17" s="86"/>
      <c r="J17" s="86"/>
      <c r="K17" s="86"/>
      <c r="L17" s="86"/>
      <c r="M17" s="86"/>
      <c r="N17" s="86"/>
      <c r="O17" s="86"/>
      <c r="P17" s="86"/>
      <c r="Q17" s="74"/>
      <c r="R17" s="155"/>
      <c r="S17" s="155"/>
      <c r="T17" s="155"/>
      <c r="U17" s="155"/>
      <c r="V17" s="155"/>
      <c r="W17" s="155"/>
      <c r="X17" s="155"/>
      <c r="Y17" s="155"/>
      <c r="Z17" s="155"/>
      <c r="AA17" s="155"/>
      <c r="AB17" s="155"/>
      <c r="AC17" s="155"/>
      <c r="AD17" s="155"/>
      <c r="AE17" s="155"/>
      <c r="AF17" s="155"/>
      <c r="AG17" s="155"/>
      <c r="AH17" s="155"/>
      <c r="AI17" s="155"/>
    </row>
    <row r="18" spans="1:35" ht="15.95" customHeight="1" x14ac:dyDescent="0.25">
      <c r="A18" s="87"/>
      <c r="B18" s="86"/>
      <c r="C18" s="86"/>
      <c r="D18" s="86"/>
      <c r="E18" s="86"/>
      <c r="F18" s="86"/>
      <c r="G18" s="86"/>
      <c r="H18" s="86"/>
      <c r="I18" s="86"/>
      <c r="J18" s="86"/>
      <c r="K18" s="86"/>
      <c r="L18" s="86"/>
      <c r="M18" s="86"/>
      <c r="N18" s="86"/>
      <c r="O18" s="86"/>
      <c r="P18" s="86"/>
      <c r="Q18" s="74"/>
      <c r="R18" s="155"/>
      <c r="S18" s="155"/>
      <c r="T18" s="155"/>
      <c r="U18" s="155"/>
      <c r="V18" s="155"/>
      <c r="W18" s="155"/>
      <c r="X18" s="155"/>
      <c r="Y18" s="155"/>
      <c r="Z18" s="155"/>
      <c r="AA18" s="155"/>
      <c r="AB18" s="155"/>
      <c r="AC18" s="155"/>
      <c r="AD18" s="155"/>
      <c r="AE18" s="155"/>
      <c r="AF18" s="155"/>
      <c r="AG18" s="155"/>
      <c r="AH18" s="155"/>
      <c r="AI18" s="155"/>
    </row>
    <row r="19" spans="1:35" x14ac:dyDescent="0.25">
      <c r="A19" s="88" t="s">
        <v>263</v>
      </c>
      <c r="B19" s="86"/>
      <c r="C19" s="86"/>
      <c r="D19" s="86"/>
      <c r="E19" s="86"/>
      <c r="F19" s="86"/>
      <c r="G19" s="86"/>
      <c r="H19" s="86"/>
      <c r="I19" s="86"/>
      <c r="J19" s="86"/>
      <c r="K19" s="86"/>
      <c r="L19" s="86"/>
      <c r="M19" s="86"/>
      <c r="N19" s="86"/>
      <c r="O19" s="86"/>
      <c r="P19" s="86"/>
      <c r="Q19" s="74"/>
      <c r="R19" s="155"/>
      <c r="S19" s="155"/>
      <c r="T19" s="155"/>
      <c r="U19" s="155"/>
      <c r="V19" s="155"/>
      <c r="W19" s="155"/>
      <c r="X19" s="155"/>
      <c r="Y19" s="155"/>
      <c r="Z19" s="155"/>
      <c r="AA19" s="155"/>
      <c r="AB19" s="155"/>
      <c r="AC19" s="155"/>
      <c r="AD19" s="155"/>
      <c r="AE19" s="155"/>
      <c r="AF19" s="155"/>
      <c r="AG19" s="155"/>
      <c r="AH19" s="155"/>
      <c r="AI19" s="155"/>
    </row>
    <row r="20" spans="1:35" x14ac:dyDescent="0.25">
      <c r="A20" s="88" t="s">
        <v>162</v>
      </c>
      <c r="B20" s="86"/>
      <c r="C20" s="86"/>
      <c r="D20" s="86"/>
      <c r="E20" s="86"/>
      <c r="F20" s="86"/>
      <c r="G20" s="86"/>
      <c r="H20" s="86"/>
      <c r="I20" s="86"/>
      <c r="J20" s="86"/>
      <c r="K20" s="86"/>
      <c r="L20" s="86"/>
      <c r="M20" s="86"/>
      <c r="N20" s="86"/>
      <c r="O20" s="86"/>
      <c r="P20" s="86"/>
      <c r="Q20" s="74"/>
      <c r="R20" s="155"/>
      <c r="S20" s="155"/>
      <c r="T20" s="155"/>
      <c r="U20" s="155"/>
      <c r="V20" s="155"/>
      <c r="W20" s="155"/>
      <c r="X20" s="155"/>
      <c r="Y20" s="155"/>
      <c r="Z20" s="155"/>
      <c r="AA20" s="155"/>
      <c r="AB20" s="155"/>
      <c r="AC20" s="155"/>
      <c r="AD20" s="155"/>
      <c r="AE20" s="155"/>
      <c r="AF20" s="155"/>
      <c r="AG20" s="155"/>
      <c r="AH20" s="155"/>
      <c r="AI20" s="155"/>
    </row>
    <row r="21" spans="1:35" x14ac:dyDescent="0.25">
      <c r="A21" s="87"/>
      <c r="B21" s="86"/>
      <c r="C21" s="86"/>
      <c r="D21" s="86"/>
      <c r="E21" s="86"/>
      <c r="F21" s="86"/>
      <c r="G21" s="86"/>
      <c r="H21" s="86"/>
      <c r="I21" s="86"/>
      <c r="J21" s="86"/>
      <c r="K21" s="86"/>
      <c r="L21" s="86"/>
      <c r="M21" s="86"/>
      <c r="N21" s="86"/>
      <c r="O21" s="86"/>
      <c r="P21" s="86"/>
      <c r="Q21" s="74"/>
      <c r="R21" s="155"/>
      <c r="S21" s="155"/>
      <c r="T21" s="155"/>
      <c r="U21" s="155"/>
      <c r="V21" s="155"/>
      <c r="W21" s="155"/>
      <c r="X21" s="155"/>
      <c r="Y21" s="155"/>
      <c r="Z21" s="155"/>
      <c r="AA21" s="155"/>
      <c r="AB21" s="155"/>
      <c r="AC21" s="155"/>
      <c r="AD21" s="155"/>
      <c r="AE21" s="155"/>
      <c r="AF21" s="155"/>
      <c r="AG21" s="155"/>
      <c r="AH21" s="155"/>
      <c r="AI21" s="155"/>
    </row>
    <row r="22" spans="1:35" x14ac:dyDescent="0.25">
      <c r="A22" s="88" t="s">
        <v>169</v>
      </c>
      <c r="B22" s="86"/>
      <c r="C22" s="86"/>
      <c r="D22" s="86"/>
      <c r="E22" s="86"/>
      <c r="F22" s="86"/>
      <c r="G22" s="86"/>
      <c r="H22" s="86"/>
      <c r="I22" s="86"/>
      <c r="J22" s="86"/>
      <c r="K22" s="86"/>
      <c r="L22" s="86"/>
      <c r="M22" s="86"/>
      <c r="N22" s="86"/>
      <c r="O22" s="86"/>
      <c r="P22" s="86"/>
      <c r="Q22" s="74"/>
      <c r="R22" s="155"/>
      <c r="S22" s="155"/>
      <c r="T22" s="155"/>
      <c r="U22" s="155"/>
      <c r="V22" s="155"/>
      <c r="W22" s="155"/>
      <c r="X22" s="155"/>
      <c r="Y22" s="155"/>
      <c r="Z22" s="155"/>
      <c r="AA22" s="155"/>
      <c r="AB22" s="155"/>
      <c r="AC22" s="155"/>
      <c r="AD22" s="155"/>
      <c r="AE22" s="155"/>
      <c r="AF22" s="155"/>
      <c r="AG22" s="155"/>
      <c r="AH22" s="155"/>
      <c r="AI22" s="155"/>
    </row>
    <row r="23" spans="1:35" x14ac:dyDescent="0.25">
      <c r="A23" s="88" t="s">
        <v>190</v>
      </c>
      <c r="B23" s="86"/>
      <c r="C23" s="86"/>
      <c r="D23" s="86"/>
      <c r="E23" s="86"/>
      <c r="F23" s="86"/>
      <c r="G23" s="86"/>
      <c r="H23" s="86"/>
      <c r="I23" s="86"/>
      <c r="J23" s="86"/>
      <c r="K23" s="86"/>
      <c r="L23" s="86"/>
      <c r="M23" s="86"/>
      <c r="N23" s="86"/>
      <c r="O23" s="86"/>
      <c r="P23" s="86"/>
      <c r="Q23" s="74"/>
      <c r="R23" s="155"/>
      <c r="S23" s="155"/>
      <c r="T23" s="155"/>
      <c r="U23" s="155"/>
      <c r="V23" s="155"/>
      <c r="W23" s="155"/>
      <c r="X23" s="155"/>
      <c r="Y23" s="155"/>
      <c r="Z23" s="155"/>
      <c r="AA23" s="155"/>
      <c r="AB23" s="155"/>
      <c r="AC23" s="155"/>
      <c r="AD23" s="155"/>
      <c r="AE23" s="155"/>
      <c r="AF23" s="155"/>
      <c r="AG23" s="155"/>
      <c r="AH23" s="155"/>
      <c r="AI23" s="155"/>
    </row>
    <row r="24" spans="1:35" x14ac:dyDescent="0.25">
      <c r="A24" s="88"/>
      <c r="B24" s="86"/>
      <c r="C24" s="86"/>
      <c r="D24" s="86"/>
      <c r="E24" s="86"/>
      <c r="F24" s="86"/>
      <c r="G24" s="86"/>
      <c r="H24" s="86"/>
      <c r="I24" s="86"/>
      <c r="J24" s="86"/>
      <c r="K24" s="86"/>
      <c r="L24" s="86"/>
      <c r="M24" s="86"/>
      <c r="N24" s="86"/>
      <c r="O24" s="86"/>
      <c r="P24" s="86"/>
      <c r="Q24" s="74"/>
      <c r="R24" s="155"/>
      <c r="S24" s="155"/>
      <c r="T24" s="155"/>
      <c r="U24" s="155"/>
      <c r="V24" s="155"/>
      <c r="W24" s="155"/>
      <c r="X24" s="155"/>
      <c r="Y24" s="155"/>
      <c r="Z24" s="155"/>
      <c r="AA24" s="155"/>
      <c r="AB24" s="155"/>
      <c r="AC24" s="155"/>
      <c r="AD24" s="155"/>
      <c r="AE24" s="155"/>
      <c r="AF24" s="155"/>
      <c r="AG24" s="155"/>
      <c r="AH24" s="155"/>
      <c r="AI24" s="155"/>
    </row>
    <row r="25" spans="1:35" x14ac:dyDescent="0.25">
      <c r="A25" s="88" t="s">
        <v>264</v>
      </c>
      <c r="B25" s="86"/>
      <c r="C25" s="86"/>
      <c r="D25" s="86"/>
      <c r="E25" s="86"/>
      <c r="F25" s="86"/>
      <c r="G25" s="86"/>
      <c r="H25" s="86"/>
      <c r="I25" s="86"/>
      <c r="J25" s="86"/>
      <c r="K25" s="86"/>
      <c r="L25" s="86"/>
      <c r="M25" s="86"/>
      <c r="N25" s="86"/>
      <c r="O25" s="86"/>
      <c r="P25" s="86"/>
      <c r="Q25" s="74"/>
      <c r="R25" s="155"/>
      <c r="S25" s="155"/>
      <c r="T25" s="155"/>
      <c r="U25" s="155"/>
      <c r="V25" s="155"/>
      <c r="W25" s="155"/>
      <c r="X25" s="155"/>
      <c r="Y25" s="155"/>
      <c r="Z25" s="155"/>
      <c r="AA25" s="155"/>
      <c r="AB25" s="155"/>
      <c r="AC25" s="155"/>
      <c r="AD25" s="155"/>
      <c r="AE25" s="155"/>
      <c r="AF25" s="155"/>
      <c r="AG25" s="155"/>
      <c r="AH25" s="155"/>
      <c r="AI25" s="155"/>
    </row>
    <row r="26" spans="1:35" x14ac:dyDescent="0.25">
      <c r="A26" s="88"/>
      <c r="B26" s="86"/>
      <c r="C26" s="86"/>
      <c r="D26" s="86"/>
      <c r="E26" s="86"/>
      <c r="F26" s="86"/>
      <c r="G26" s="86"/>
      <c r="H26" s="86"/>
      <c r="I26" s="86"/>
      <c r="J26" s="152"/>
      <c r="K26" s="86"/>
      <c r="L26" s="86"/>
      <c r="M26" s="86"/>
      <c r="N26" s="86"/>
      <c r="O26" s="86"/>
      <c r="P26" s="86"/>
      <c r="Q26" s="74"/>
      <c r="R26" s="155"/>
      <c r="S26" s="155"/>
      <c r="T26" s="155"/>
      <c r="U26" s="155"/>
      <c r="V26" s="155"/>
      <c r="W26" s="155"/>
      <c r="X26" s="155"/>
      <c r="Y26" s="155"/>
      <c r="Z26" s="155"/>
      <c r="AA26" s="155"/>
      <c r="AB26" s="155"/>
      <c r="AC26" s="155"/>
      <c r="AD26" s="155"/>
      <c r="AE26" s="155"/>
      <c r="AF26" s="155"/>
      <c r="AG26" s="155"/>
      <c r="AH26" s="155"/>
      <c r="AI26" s="155"/>
    </row>
    <row r="27" spans="1:35" x14ac:dyDescent="0.25">
      <c r="A27" s="88" t="s">
        <v>254</v>
      </c>
      <c r="B27" s="86"/>
      <c r="C27" s="86"/>
      <c r="D27" s="86"/>
      <c r="E27" s="86"/>
      <c r="F27" s="86"/>
      <c r="G27" s="86"/>
      <c r="H27" s="86"/>
      <c r="I27" s="86"/>
      <c r="J27" s="152"/>
      <c r="K27" s="86"/>
      <c r="L27" s="86"/>
      <c r="M27" s="86"/>
      <c r="N27" s="86"/>
      <c r="O27" s="86"/>
      <c r="P27" s="86"/>
      <c r="Q27" s="74"/>
      <c r="R27" s="155"/>
      <c r="S27" s="155"/>
      <c r="T27" s="155"/>
      <c r="U27" s="155"/>
      <c r="V27" s="155"/>
      <c r="W27" s="155"/>
      <c r="X27" s="155"/>
      <c r="Y27" s="155"/>
      <c r="Z27" s="155"/>
      <c r="AA27" s="155"/>
      <c r="AB27" s="155"/>
      <c r="AC27" s="155"/>
      <c r="AD27" s="155"/>
      <c r="AE27" s="155"/>
      <c r="AF27" s="155"/>
      <c r="AG27" s="155"/>
      <c r="AH27" s="155"/>
      <c r="AI27" s="155"/>
    </row>
    <row r="28" spans="1:35" x14ac:dyDescent="0.25">
      <c r="A28" s="88" t="s">
        <v>255</v>
      </c>
      <c r="B28" s="86"/>
      <c r="C28" s="86"/>
      <c r="D28" s="86"/>
      <c r="E28" s="86"/>
      <c r="F28" s="86"/>
      <c r="G28" s="86"/>
      <c r="H28" s="86"/>
      <c r="I28" s="86"/>
      <c r="J28" s="152"/>
      <c r="K28" s="86"/>
      <c r="L28" s="86"/>
      <c r="M28" s="86"/>
      <c r="N28" s="86"/>
      <c r="O28" s="86"/>
      <c r="P28" s="86"/>
      <c r="Q28" s="74"/>
      <c r="R28" s="155"/>
      <c r="S28" s="155"/>
      <c r="T28" s="155"/>
      <c r="U28" s="155"/>
      <c r="V28" s="155"/>
      <c r="W28" s="155"/>
      <c r="X28" s="155"/>
      <c r="Y28" s="155"/>
      <c r="Z28" s="155"/>
      <c r="AA28" s="155"/>
      <c r="AB28" s="155"/>
      <c r="AC28" s="155"/>
      <c r="AD28" s="155"/>
      <c r="AE28" s="155"/>
      <c r="AF28" s="155"/>
      <c r="AG28" s="155"/>
      <c r="AH28" s="155"/>
      <c r="AI28" s="155"/>
    </row>
    <row r="29" spans="1:35" s="39" customFormat="1" x14ac:dyDescent="0.25">
      <c r="A29" s="88"/>
      <c r="B29" s="86"/>
      <c r="C29" s="86"/>
      <c r="D29" s="86"/>
      <c r="E29" s="86"/>
      <c r="F29" s="86"/>
      <c r="G29" s="86"/>
      <c r="H29" s="86"/>
      <c r="I29" s="86"/>
      <c r="J29" s="152"/>
      <c r="K29" s="86"/>
      <c r="L29" s="86"/>
      <c r="M29" s="86"/>
      <c r="N29" s="86"/>
      <c r="O29" s="86"/>
      <c r="P29" s="86"/>
      <c r="Q29" s="74"/>
      <c r="R29" s="155"/>
      <c r="S29" s="155"/>
      <c r="T29" s="155"/>
      <c r="U29" s="155"/>
      <c r="V29" s="155"/>
      <c r="W29" s="155"/>
      <c r="X29" s="155"/>
      <c r="Y29" s="155"/>
      <c r="Z29" s="155"/>
      <c r="AA29" s="155"/>
      <c r="AB29" s="155"/>
      <c r="AC29" s="155"/>
      <c r="AD29" s="155"/>
      <c r="AE29" s="155"/>
      <c r="AF29" s="155"/>
      <c r="AG29" s="155"/>
      <c r="AH29" s="155"/>
      <c r="AI29" s="155"/>
    </row>
    <row r="30" spans="1:35" s="39" customFormat="1" x14ac:dyDescent="0.25">
      <c r="A30" s="88" t="s">
        <v>167</v>
      </c>
      <c r="B30" s="86"/>
      <c r="C30" s="86"/>
      <c r="D30" s="86"/>
      <c r="E30" s="86"/>
      <c r="F30" s="86"/>
      <c r="G30" s="86"/>
      <c r="H30" s="86"/>
      <c r="I30" s="86"/>
      <c r="J30" s="152"/>
      <c r="K30" s="86"/>
      <c r="L30" s="86"/>
      <c r="M30" s="86"/>
      <c r="N30" s="86"/>
      <c r="O30" s="86"/>
      <c r="P30" s="86"/>
      <c r="Q30" s="74"/>
      <c r="R30" s="155"/>
      <c r="S30" s="155"/>
      <c r="T30" s="155"/>
      <c r="U30" s="155"/>
      <c r="V30" s="155"/>
      <c r="W30" s="155"/>
      <c r="X30" s="155"/>
      <c r="Y30" s="155"/>
      <c r="Z30" s="155"/>
      <c r="AA30" s="155"/>
      <c r="AB30" s="155"/>
      <c r="AC30" s="155"/>
      <c r="AD30" s="155"/>
      <c r="AE30" s="155"/>
      <c r="AF30" s="155"/>
      <c r="AG30" s="155"/>
      <c r="AH30" s="155"/>
      <c r="AI30" s="155"/>
    </row>
    <row r="31" spans="1:35" s="39" customFormat="1" x14ac:dyDescent="0.25">
      <c r="A31" s="88"/>
      <c r="B31" s="86"/>
      <c r="C31" s="86"/>
      <c r="D31" s="86"/>
      <c r="E31" s="86"/>
      <c r="F31" s="86"/>
      <c r="G31" s="86"/>
      <c r="H31" s="86"/>
      <c r="I31" s="86"/>
      <c r="J31" s="152"/>
      <c r="K31" s="86"/>
      <c r="L31" s="86"/>
      <c r="M31" s="86"/>
      <c r="N31" s="86"/>
      <c r="O31" s="86"/>
      <c r="P31" s="86"/>
      <c r="Q31" s="74"/>
      <c r="R31" s="155"/>
      <c r="S31" s="155"/>
      <c r="T31" s="155"/>
      <c r="U31" s="155"/>
      <c r="V31" s="155"/>
      <c r="W31" s="155"/>
      <c r="X31" s="155"/>
      <c r="Y31" s="155"/>
      <c r="Z31" s="155"/>
      <c r="AA31" s="155"/>
      <c r="AB31" s="155"/>
      <c r="AC31" s="155"/>
      <c r="AD31" s="155"/>
      <c r="AE31" s="155"/>
      <c r="AF31" s="155"/>
      <c r="AG31" s="155"/>
      <c r="AH31" s="155"/>
      <c r="AI31" s="155"/>
    </row>
    <row r="32" spans="1:35" s="39" customFormat="1" x14ac:dyDescent="0.25">
      <c r="A32" s="102" t="s">
        <v>166</v>
      </c>
      <c r="B32" s="86"/>
      <c r="C32" s="86"/>
      <c r="D32" s="86"/>
      <c r="E32" s="86"/>
      <c r="F32" s="86"/>
      <c r="G32" s="86"/>
      <c r="H32" s="86"/>
      <c r="I32" s="86"/>
      <c r="J32" s="104"/>
      <c r="K32" s="86"/>
      <c r="L32" s="86"/>
      <c r="M32" s="86"/>
      <c r="N32" s="86"/>
      <c r="O32" s="86"/>
      <c r="P32" s="86"/>
      <c r="Q32" s="74"/>
      <c r="R32" s="155"/>
      <c r="S32" s="155"/>
      <c r="T32" s="155"/>
      <c r="U32" s="155"/>
      <c r="V32" s="155"/>
      <c r="W32" s="155"/>
      <c r="X32" s="155"/>
      <c r="Y32" s="155"/>
      <c r="Z32" s="155"/>
      <c r="AA32" s="155"/>
      <c r="AB32" s="155"/>
      <c r="AC32" s="155"/>
      <c r="AD32" s="155"/>
      <c r="AE32" s="155"/>
      <c r="AF32" s="155"/>
      <c r="AG32" s="155"/>
      <c r="AH32" s="155"/>
      <c r="AI32" s="155"/>
    </row>
    <row r="33" spans="1:35" s="39" customFormat="1" x14ac:dyDescent="0.25">
      <c r="A33" s="88" t="s">
        <v>160</v>
      </c>
      <c r="B33" s="86"/>
      <c r="C33" s="86"/>
      <c r="D33" s="86"/>
      <c r="E33" s="86"/>
      <c r="F33" s="86"/>
      <c r="G33" s="86"/>
      <c r="H33" s="86"/>
      <c r="I33" s="86"/>
      <c r="J33" s="104"/>
      <c r="K33" s="86"/>
      <c r="L33" s="86"/>
      <c r="M33" s="86"/>
      <c r="N33" s="86"/>
      <c r="O33" s="86"/>
      <c r="P33" s="86"/>
      <c r="Q33" s="74"/>
      <c r="R33" s="155"/>
      <c r="S33" s="155"/>
      <c r="T33" s="155"/>
      <c r="U33" s="155"/>
      <c r="V33" s="155"/>
      <c r="W33" s="155"/>
      <c r="X33" s="155"/>
      <c r="Y33" s="155"/>
      <c r="Z33" s="155"/>
      <c r="AA33" s="155"/>
      <c r="AB33" s="155"/>
      <c r="AC33" s="155"/>
      <c r="AD33" s="155"/>
      <c r="AE33" s="155"/>
      <c r="AF33" s="155"/>
      <c r="AG33" s="155"/>
      <c r="AH33" s="155"/>
      <c r="AI33" s="155"/>
    </row>
    <row r="34" spans="1:35" s="39" customFormat="1" x14ac:dyDescent="0.25">
      <c r="A34" s="88" t="s">
        <v>157</v>
      </c>
      <c r="B34" s="86"/>
      <c r="C34" s="86"/>
      <c r="D34" s="86"/>
      <c r="E34" s="86"/>
      <c r="F34" s="86"/>
      <c r="G34" s="86"/>
      <c r="H34" s="86"/>
      <c r="I34" s="86"/>
      <c r="J34" s="86"/>
      <c r="K34" s="86"/>
      <c r="L34" s="86"/>
      <c r="M34" s="86"/>
      <c r="N34" s="86"/>
      <c r="O34" s="86"/>
      <c r="P34" s="86"/>
      <c r="Q34" s="74"/>
      <c r="R34" s="155"/>
      <c r="S34" s="155"/>
      <c r="T34" s="155"/>
      <c r="U34" s="155"/>
      <c r="V34" s="155"/>
      <c r="W34" s="155"/>
      <c r="X34" s="155"/>
      <c r="Y34" s="155"/>
      <c r="Z34" s="155"/>
      <c r="AA34" s="155"/>
      <c r="AB34" s="155"/>
      <c r="AC34" s="155"/>
      <c r="AD34" s="155"/>
      <c r="AE34" s="155"/>
      <c r="AF34" s="155"/>
      <c r="AG34" s="155"/>
      <c r="AH34" s="155"/>
      <c r="AI34" s="155"/>
    </row>
    <row r="35" spans="1:35" s="39" customFormat="1" x14ac:dyDescent="0.25">
      <c r="A35" s="88"/>
      <c r="B35" s="86"/>
      <c r="C35" s="86"/>
      <c r="D35" s="86"/>
      <c r="E35" s="86"/>
      <c r="F35" s="86"/>
      <c r="G35" s="86"/>
      <c r="H35" s="86"/>
      <c r="I35" s="86"/>
      <c r="J35" s="86"/>
      <c r="K35" s="86"/>
      <c r="L35" s="86"/>
      <c r="M35" s="86"/>
      <c r="N35" s="86"/>
      <c r="O35" s="86"/>
      <c r="P35" s="86"/>
      <c r="Q35" s="74"/>
      <c r="R35" s="155"/>
      <c r="S35" s="155"/>
      <c r="T35" s="155"/>
      <c r="U35" s="155"/>
      <c r="V35" s="155"/>
      <c r="W35" s="155"/>
      <c r="X35" s="155"/>
      <c r="Y35" s="155"/>
      <c r="Z35" s="155"/>
      <c r="AA35" s="155"/>
      <c r="AB35" s="155"/>
      <c r="AC35" s="155"/>
      <c r="AD35" s="155"/>
      <c r="AE35" s="155"/>
      <c r="AF35" s="155"/>
      <c r="AG35" s="155"/>
      <c r="AH35" s="155"/>
      <c r="AI35" s="155"/>
    </row>
    <row r="36" spans="1:35" x14ac:dyDescent="0.25">
      <c r="A36" s="151" t="s">
        <v>234</v>
      </c>
      <c r="B36" s="86"/>
      <c r="C36" s="86"/>
      <c r="D36" s="86"/>
      <c r="E36" s="86"/>
      <c r="F36" s="86"/>
      <c r="G36" s="86"/>
      <c r="H36" s="86"/>
      <c r="I36" s="86"/>
      <c r="J36" s="86"/>
      <c r="K36" s="86"/>
      <c r="L36" s="86"/>
      <c r="M36" s="86"/>
      <c r="N36" s="86"/>
      <c r="O36" s="86"/>
      <c r="P36" s="86"/>
      <c r="Q36" s="74"/>
      <c r="R36" s="155"/>
      <c r="S36" s="155"/>
      <c r="T36" s="155"/>
      <c r="U36" s="155"/>
      <c r="V36" s="155"/>
      <c r="W36" s="155"/>
      <c r="X36" s="155"/>
      <c r="Y36" s="155"/>
      <c r="Z36" s="155"/>
      <c r="AA36" s="155"/>
      <c r="AB36" s="155"/>
      <c r="AC36" s="155"/>
      <c r="AD36" s="155"/>
      <c r="AE36" s="155"/>
      <c r="AF36" s="155"/>
      <c r="AG36" s="155"/>
      <c r="AH36" s="155"/>
      <c r="AI36" s="155"/>
    </row>
    <row r="37" spans="1:35" x14ac:dyDescent="0.25">
      <c r="A37" s="88" t="s">
        <v>179</v>
      </c>
      <c r="B37" s="86"/>
      <c r="C37" s="86"/>
      <c r="D37" s="86"/>
      <c r="E37" s="86"/>
      <c r="F37" s="86"/>
      <c r="G37" s="86"/>
      <c r="H37" s="86"/>
      <c r="I37" s="86"/>
      <c r="J37" s="86"/>
      <c r="K37" s="86"/>
      <c r="L37" s="86"/>
      <c r="M37" s="86"/>
      <c r="N37" s="86"/>
      <c r="O37" s="86"/>
      <c r="P37" s="86"/>
      <c r="Q37" s="74"/>
      <c r="R37" s="155"/>
      <c r="S37" s="155"/>
      <c r="T37" s="155"/>
      <c r="U37" s="155"/>
      <c r="V37" s="155"/>
      <c r="W37" s="155"/>
      <c r="X37" s="155"/>
      <c r="Y37" s="155"/>
      <c r="Z37" s="155"/>
      <c r="AA37" s="155"/>
      <c r="AB37" s="155"/>
      <c r="AC37" s="155"/>
      <c r="AD37" s="155"/>
      <c r="AE37" s="155"/>
      <c r="AF37" s="155"/>
      <c r="AG37" s="155"/>
      <c r="AH37" s="155"/>
      <c r="AI37" s="155"/>
    </row>
    <row r="38" spans="1:35" x14ac:dyDescent="0.25">
      <c r="A38" s="152"/>
      <c r="B38" s="86"/>
      <c r="C38" s="86"/>
      <c r="D38" s="86"/>
      <c r="E38" s="86"/>
      <c r="F38" s="86"/>
      <c r="G38" s="86"/>
      <c r="H38" s="86"/>
      <c r="I38" s="86"/>
      <c r="J38" s="86"/>
      <c r="K38" s="86"/>
      <c r="L38" s="86"/>
      <c r="M38" s="86"/>
      <c r="N38" s="86"/>
      <c r="O38" s="86"/>
      <c r="P38" s="86"/>
      <c r="Q38" s="74"/>
      <c r="R38" s="155"/>
      <c r="S38" s="155"/>
      <c r="T38" s="155"/>
      <c r="U38" s="155"/>
      <c r="V38" s="155"/>
      <c r="W38" s="155"/>
      <c r="X38" s="155"/>
      <c r="Y38" s="155"/>
      <c r="Z38" s="155"/>
      <c r="AA38" s="155"/>
      <c r="AB38" s="155"/>
      <c r="AC38" s="155"/>
      <c r="AD38" s="155"/>
      <c r="AE38" s="155"/>
      <c r="AF38" s="155"/>
      <c r="AG38" s="155"/>
      <c r="AH38" s="155"/>
      <c r="AI38" s="155"/>
    </row>
    <row r="39" spans="1:35" x14ac:dyDescent="0.25">
      <c r="A39" s="88" t="s">
        <v>298</v>
      </c>
      <c r="B39" s="86"/>
      <c r="C39" s="86"/>
      <c r="D39" s="86"/>
      <c r="E39" s="86"/>
      <c r="F39" s="86"/>
      <c r="G39" s="86"/>
      <c r="H39" s="86"/>
      <c r="I39" s="86"/>
      <c r="J39" s="86"/>
      <c r="K39" s="86"/>
      <c r="L39" s="86"/>
      <c r="M39" s="86"/>
      <c r="N39" s="86"/>
      <c r="O39" s="86"/>
      <c r="P39" s="86"/>
      <c r="Q39" s="74"/>
      <c r="R39" s="155"/>
      <c r="S39" s="155"/>
      <c r="T39" s="155"/>
      <c r="U39" s="155"/>
      <c r="V39" s="155"/>
      <c r="W39" s="155"/>
      <c r="X39" s="155"/>
      <c r="Y39" s="155"/>
      <c r="Z39" s="155"/>
      <c r="AA39" s="155"/>
      <c r="AB39" s="155"/>
      <c r="AC39" s="155"/>
      <c r="AD39" s="155"/>
      <c r="AE39" s="155"/>
      <c r="AF39" s="155"/>
      <c r="AG39" s="155"/>
      <c r="AH39" s="155"/>
      <c r="AI39" s="155"/>
    </row>
    <row r="40" spans="1:35" x14ac:dyDescent="0.25">
      <c r="A40" s="87"/>
      <c r="B40" s="86"/>
      <c r="C40" s="86"/>
      <c r="D40" s="86"/>
      <c r="E40" s="86"/>
      <c r="F40" s="86"/>
      <c r="G40" s="86"/>
      <c r="H40" s="86"/>
      <c r="I40" s="86"/>
      <c r="J40" s="86"/>
      <c r="K40" s="86"/>
      <c r="L40" s="86"/>
      <c r="M40" s="86"/>
      <c r="N40" s="86"/>
      <c r="O40" s="86"/>
      <c r="P40" s="86"/>
      <c r="Q40" s="74"/>
      <c r="R40" s="155"/>
      <c r="S40" s="155"/>
      <c r="T40" s="155"/>
      <c r="U40" s="155"/>
      <c r="V40" s="155"/>
      <c r="W40" s="155"/>
      <c r="X40" s="155"/>
      <c r="Y40" s="155"/>
      <c r="Z40" s="155"/>
      <c r="AA40" s="155"/>
      <c r="AB40" s="155"/>
      <c r="AC40" s="155"/>
      <c r="AD40" s="155"/>
      <c r="AE40" s="155"/>
      <c r="AF40" s="155"/>
      <c r="AG40" s="155"/>
      <c r="AH40" s="155"/>
      <c r="AI40" s="155"/>
    </row>
    <row r="41" spans="1:35" x14ac:dyDescent="0.25">
      <c r="A41" s="88" t="s">
        <v>184</v>
      </c>
      <c r="B41" s="86"/>
      <c r="C41" s="86"/>
      <c r="D41" s="86"/>
      <c r="E41" s="86"/>
      <c r="F41" s="86"/>
      <c r="G41" s="86"/>
      <c r="H41" s="86"/>
      <c r="I41" s="86"/>
      <c r="J41" s="86"/>
      <c r="K41" s="86"/>
      <c r="L41" s="86"/>
      <c r="M41" s="86"/>
      <c r="N41" s="86"/>
      <c r="O41" s="86"/>
      <c r="P41" s="86"/>
      <c r="Q41" s="74"/>
      <c r="R41" s="155"/>
      <c r="S41" s="155"/>
      <c r="T41" s="155"/>
      <c r="U41" s="155"/>
      <c r="V41" s="155"/>
      <c r="W41" s="155"/>
      <c r="X41" s="155"/>
      <c r="Y41" s="155"/>
      <c r="Z41" s="155"/>
      <c r="AA41" s="155"/>
      <c r="AB41" s="155"/>
      <c r="AC41" s="155"/>
      <c r="AD41" s="155"/>
      <c r="AE41" s="155"/>
      <c r="AF41" s="155"/>
      <c r="AG41" s="155"/>
      <c r="AH41" s="155"/>
      <c r="AI41" s="155"/>
    </row>
    <row r="42" spans="1:35" x14ac:dyDescent="0.25">
      <c r="A42" s="152"/>
      <c r="B42" s="86"/>
      <c r="C42" s="86"/>
      <c r="D42" s="86"/>
      <c r="E42" s="86"/>
      <c r="F42" s="86"/>
      <c r="G42" s="86"/>
      <c r="H42" s="86"/>
      <c r="I42" s="86"/>
      <c r="J42" s="86"/>
      <c r="K42" s="86"/>
      <c r="L42" s="86"/>
      <c r="M42" s="86"/>
      <c r="N42" s="86"/>
      <c r="O42" s="86"/>
      <c r="P42" s="86"/>
      <c r="Q42" s="74"/>
      <c r="R42" s="155"/>
      <c r="S42" s="155"/>
      <c r="T42" s="155"/>
      <c r="U42" s="155"/>
      <c r="V42" s="155"/>
      <c r="W42" s="155"/>
      <c r="X42" s="155"/>
      <c r="Y42" s="155"/>
      <c r="Z42" s="155"/>
      <c r="AA42" s="155"/>
      <c r="AB42" s="155"/>
      <c r="AC42" s="155"/>
      <c r="AD42" s="155"/>
      <c r="AE42" s="155"/>
      <c r="AF42" s="155"/>
      <c r="AG42" s="155"/>
      <c r="AH42" s="155"/>
      <c r="AI42" s="155"/>
    </row>
    <row r="43" spans="1:35" x14ac:dyDescent="0.25">
      <c r="A43" s="88" t="s">
        <v>183</v>
      </c>
      <c r="B43" s="86"/>
      <c r="C43" s="86"/>
      <c r="D43" s="86"/>
      <c r="E43" s="86"/>
      <c r="F43" s="86"/>
      <c r="G43" s="86"/>
      <c r="H43" s="86"/>
      <c r="I43" s="86"/>
      <c r="J43" s="86"/>
      <c r="K43" s="86"/>
      <c r="L43" s="86"/>
      <c r="M43" s="86"/>
      <c r="N43" s="86"/>
      <c r="O43" s="86"/>
      <c r="P43" s="86"/>
      <c r="Q43" s="74"/>
      <c r="R43" s="155"/>
      <c r="S43" s="155"/>
      <c r="T43" s="155"/>
      <c r="U43" s="155"/>
      <c r="V43" s="155"/>
      <c r="W43" s="155"/>
      <c r="X43" s="155"/>
      <c r="Y43" s="155"/>
      <c r="Z43" s="155"/>
      <c r="AA43" s="155"/>
      <c r="AB43" s="155"/>
      <c r="AC43" s="155"/>
      <c r="AD43" s="155"/>
      <c r="AE43" s="155"/>
      <c r="AF43" s="155"/>
      <c r="AG43" s="155"/>
      <c r="AH43" s="155"/>
      <c r="AI43" s="155"/>
    </row>
    <row r="44" spans="1:35" x14ac:dyDescent="0.25">
      <c r="A44" s="88" t="s">
        <v>159</v>
      </c>
      <c r="B44" s="86"/>
      <c r="C44" s="86"/>
      <c r="D44" s="86"/>
      <c r="E44" s="86"/>
      <c r="F44" s="86"/>
      <c r="G44" s="86"/>
      <c r="H44" s="86"/>
      <c r="I44" s="86"/>
      <c r="J44" s="86"/>
      <c r="K44" s="86"/>
      <c r="L44" s="86"/>
      <c r="M44" s="86"/>
      <c r="N44" s="86"/>
      <c r="O44" s="86"/>
      <c r="P44" s="86"/>
      <c r="Q44" s="74"/>
      <c r="R44" s="155"/>
      <c r="S44" s="155"/>
      <c r="T44" s="155"/>
      <c r="U44" s="155"/>
      <c r="V44" s="155"/>
      <c r="W44" s="155"/>
      <c r="X44" s="155"/>
      <c r="Y44" s="155"/>
      <c r="Z44" s="155"/>
      <c r="AA44" s="155"/>
      <c r="AB44" s="155"/>
      <c r="AC44" s="155"/>
      <c r="AD44" s="155"/>
      <c r="AE44" s="155"/>
      <c r="AF44" s="155"/>
      <c r="AG44" s="155"/>
      <c r="AH44" s="155"/>
      <c r="AI44" s="155"/>
    </row>
    <row r="45" spans="1:35" s="39" customFormat="1" x14ac:dyDescent="0.25">
      <c r="A45" s="152"/>
      <c r="B45" s="86"/>
      <c r="C45" s="86"/>
      <c r="D45" s="86"/>
      <c r="E45" s="86"/>
      <c r="F45" s="86"/>
      <c r="G45" s="86"/>
      <c r="H45" s="86"/>
      <c r="I45" s="86"/>
      <c r="J45" s="86"/>
      <c r="K45" s="86"/>
      <c r="L45" s="86"/>
      <c r="M45" s="86"/>
      <c r="N45" s="86"/>
      <c r="O45" s="86"/>
      <c r="P45" s="86"/>
      <c r="Q45" s="74"/>
      <c r="R45" s="155"/>
      <c r="S45" s="155"/>
      <c r="T45" s="155"/>
      <c r="U45" s="155"/>
      <c r="V45" s="155"/>
      <c r="W45" s="155"/>
      <c r="X45" s="155"/>
      <c r="Y45" s="155"/>
      <c r="Z45" s="155"/>
      <c r="AA45" s="155"/>
      <c r="AB45" s="155"/>
      <c r="AC45" s="155"/>
      <c r="AD45" s="155"/>
      <c r="AE45" s="155"/>
      <c r="AF45" s="155"/>
      <c r="AG45" s="155"/>
      <c r="AH45" s="155"/>
      <c r="AI45" s="155"/>
    </row>
    <row r="46" spans="1:35" s="39" customFormat="1" x14ac:dyDescent="0.25">
      <c r="A46" s="88"/>
      <c r="B46" s="86"/>
      <c r="C46" s="86"/>
      <c r="D46" s="86"/>
      <c r="E46" s="86"/>
      <c r="F46" s="86"/>
      <c r="G46" s="86"/>
      <c r="H46" s="86"/>
      <c r="I46" s="86"/>
      <c r="J46" s="86"/>
      <c r="K46" s="86"/>
      <c r="L46" s="86"/>
      <c r="M46" s="86"/>
      <c r="N46" s="86"/>
      <c r="O46" s="86"/>
      <c r="P46" s="86"/>
      <c r="Q46" s="74"/>
      <c r="R46" s="155"/>
      <c r="S46" s="155"/>
      <c r="T46" s="155"/>
      <c r="U46" s="155"/>
      <c r="V46" s="155"/>
      <c r="W46" s="155"/>
      <c r="X46" s="155"/>
      <c r="Y46" s="155"/>
      <c r="Z46" s="155"/>
      <c r="AA46" s="155"/>
      <c r="AB46" s="155"/>
      <c r="AC46" s="155"/>
      <c r="AD46" s="155"/>
      <c r="AE46" s="155"/>
      <c r="AF46" s="155"/>
      <c r="AG46" s="155"/>
      <c r="AH46" s="155"/>
      <c r="AI46" s="155"/>
    </row>
    <row r="47" spans="1:35" s="39" customFormat="1" x14ac:dyDescent="0.25">
      <c r="A47" s="150" t="s">
        <v>235</v>
      </c>
      <c r="B47" s="86"/>
      <c r="C47" s="86"/>
      <c r="D47" s="86"/>
      <c r="E47" s="86"/>
      <c r="F47" s="86"/>
      <c r="G47" s="86"/>
      <c r="H47" s="86"/>
      <c r="I47" s="86"/>
      <c r="J47" s="86"/>
      <c r="K47" s="86"/>
      <c r="L47" s="86"/>
      <c r="M47" s="86"/>
      <c r="N47" s="86"/>
      <c r="O47" s="86"/>
      <c r="P47" s="86"/>
      <c r="Q47" s="74"/>
      <c r="R47" s="155"/>
      <c r="S47" s="155"/>
      <c r="T47" s="155"/>
      <c r="U47" s="155"/>
      <c r="V47" s="155"/>
      <c r="W47" s="155"/>
      <c r="X47" s="155"/>
      <c r="Y47" s="155"/>
      <c r="Z47" s="155"/>
      <c r="AA47" s="155"/>
      <c r="AB47" s="155"/>
      <c r="AC47" s="155"/>
      <c r="AD47" s="155"/>
      <c r="AE47" s="155"/>
      <c r="AF47" s="155"/>
      <c r="AG47" s="155"/>
      <c r="AH47" s="155"/>
      <c r="AI47" s="155"/>
    </row>
    <row r="48" spans="1:35" x14ac:dyDescent="0.25">
      <c r="A48" s="88" t="s">
        <v>267</v>
      </c>
      <c r="B48" s="86"/>
      <c r="C48" s="86"/>
      <c r="D48" s="86"/>
      <c r="E48" s="86"/>
      <c r="F48" s="86"/>
      <c r="G48" s="86"/>
      <c r="H48" s="86"/>
      <c r="I48" s="86"/>
      <c r="J48" s="86"/>
      <c r="K48" s="86"/>
      <c r="L48" s="86"/>
      <c r="M48" s="86"/>
      <c r="N48" s="86"/>
      <c r="O48" s="86"/>
      <c r="P48" s="86"/>
      <c r="Q48" s="74"/>
      <c r="R48" s="155"/>
      <c r="S48" s="155"/>
      <c r="T48" s="155"/>
      <c r="U48" s="155"/>
      <c r="V48" s="155"/>
      <c r="W48" s="155"/>
      <c r="X48" s="155"/>
      <c r="Y48" s="155"/>
      <c r="Z48" s="155"/>
      <c r="AA48" s="155"/>
      <c r="AB48" s="155"/>
      <c r="AC48" s="155"/>
      <c r="AD48" s="155"/>
      <c r="AE48" s="155"/>
      <c r="AF48" s="155"/>
      <c r="AG48" s="155"/>
      <c r="AH48" s="155"/>
      <c r="AI48" s="155"/>
    </row>
    <row r="49" spans="1:35" x14ac:dyDescent="0.25">
      <c r="A49" s="87" t="s">
        <v>269</v>
      </c>
      <c r="B49" s="152"/>
      <c r="C49" s="86"/>
      <c r="D49" s="86"/>
      <c r="E49" s="86"/>
      <c r="F49" s="152"/>
      <c r="G49" s="86"/>
      <c r="H49" s="86"/>
      <c r="I49" s="106" t="s">
        <v>189</v>
      </c>
      <c r="J49" s="86"/>
      <c r="K49" s="86"/>
      <c r="L49" s="86"/>
      <c r="M49" s="86"/>
      <c r="N49" s="86"/>
      <c r="O49" s="86"/>
      <c r="P49" s="86"/>
      <c r="Q49" s="74"/>
      <c r="R49" s="155"/>
      <c r="S49" s="155"/>
      <c r="T49" s="155"/>
      <c r="U49" s="155"/>
      <c r="V49" s="155"/>
      <c r="W49" s="155"/>
      <c r="X49" s="155"/>
      <c r="Y49" s="155"/>
      <c r="Z49" s="155"/>
      <c r="AA49" s="155"/>
      <c r="AB49" s="155"/>
      <c r="AC49" s="155"/>
      <c r="AD49" s="155"/>
      <c r="AE49" s="155"/>
      <c r="AF49" s="155"/>
      <c r="AG49" s="155"/>
      <c r="AH49" s="155"/>
      <c r="AI49" s="155"/>
    </row>
    <row r="50" spans="1:35" x14ac:dyDescent="0.25">
      <c r="A50" s="103" t="s">
        <v>180</v>
      </c>
      <c r="B50" s="75"/>
      <c r="C50" s="86"/>
      <c r="D50" s="86"/>
      <c r="E50" s="86"/>
      <c r="F50" s="86"/>
      <c r="G50" s="86"/>
      <c r="H50" s="86"/>
      <c r="I50" s="86"/>
      <c r="J50" s="86"/>
      <c r="K50" s="86"/>
      <c r="L50" s="86"/>
      <c r="M50" s="86"/>
      <c r="N50" s="86"/>
      <c r="O50" s="86"/>
      <c r="P50" s="86"/>
      <c r="Q50" s="74"/>
      <c r="R50" s="155"/>
      <c r="S50" s="155"/>
      <c r="T50" s="155"/>
      <c r="U50" s="155"/>
      <c r="V50" s="155"/>
      <c r="W50" s="155"/>
      <c r="X50" s="155"/>
      <c r="Y50" s="155"/>
      <c r="Z50" s="155"/>
      <c r="AA50" s="155"/>
      <c r="AB50" s="155"/>
      <c r="AC50" s="155"/>
      <c r="AD50" s="155"/>
      <c r="AE50" s="155"/>
      <c r="AF50" s="155"/>
      <c r="AG50" s="155"/>
      <c r="AH50" s="155"/>
      <c r="AI50" s="155"/>
    </row>
    <row r="51" spans="1:35" x14ac:dyDescent="0.25">
      <c r="A51" s="103"/>
      <c r="B51" s="86"/>
      <c r="C51" s="86"/>
      <c r="D51" s="86"/>
      <c r="E51" s="86"/>
      <c r="F51" s="86"/>
      <c r="G51" s="86"/>
      <c r="H51" s="86"/>
      <c r="I51" s="86"/>
      <c r="J51" s="86"/>
      <c r="K51" s="86"/>
      <c r="L51" s="86"/>
      <c r="M51" s="86"/>
      <c r="N51" s="86"/>
      <c r="O51" s="86"/>
      <c r="P51" s="86"/>
      <c r="Q51" s="74"/>
      <c r="R51" s="155"/>
      <c r="S51" s="155"/>
      <c r="T51" s="155"/>
      <c r="U51" s="155"/>
      <c r="V51" s="155"/>
      <c r="W51" s="155"/>
      <c r="X51" s="155"/>
      <c r="Y51" s="155"/>
      <c r="Z51" s="155"/>
      <c r="AA51" s="155"/>
      <c r="AB51" s="155"/>
      <c r="AC51" s="155"/>
      <c r="AD51" s="155"/>
      <c r="AE51" s="155"/>
      <c r="AF51" s="155"/>
      <c r="AG51" s="155"/>
      <c r="AH51" s="155"/>
      <c r="AI51" s="155"/>
    </row>
    <row r="52" spans="1:35" x14ac:dyDescent="0.25">
      <c r="A52" s="88" t="s">
        <v>181</v>
      </c>
      <c r="B52" s="86"/>
      <c r="C52" s="86"/>
      <c r="D52" s="86"/>
      <c r="E52" s="86"/>
      <c r="F52" s="86"/>
      <c r="G52" s="86"/>
      <c r="H52" s="86"/>
      <c r="I52" s="86"/>
      <c r="J52" s="86"/>
      <c r="K52" s="86"/>
      <c r="L52" s="86"/>
      <c r="M52" s="86"/>
      <c r="N52" s="86"/>
      <c r="O52" s="86"/>
      <c r="P52" s="86"/>
      <c r="Q52" s="74"/>
      <c r="R52" s="155"/>
      <c r="S52" s="155"/>
      <c r="T52" s="155"/>
      <c r="U52" s="155"/>
      <c r="V52" s="155"/>
      <c r="W52" s="155"/>
      <c r="X52" s="155"/>
      <c r="Y52" s="155"/>
      <c r="Z52" s="155"/>
      <c r="AA52" s="155"/>
      <c r="AB52" s="155"/>
      <c r="AC52" s="155"/>
      <c r="AD52" s="155"/>
      <c r="AE52" s="155"/>
      <c r="AF52" s="155"/>
      <c r="AG52" s="155"/>
      <c r="AH52" s="155"/>
      <c r="AI52" s="155"/>
    </row>
    <row r="53" spans="1:35" x14ac:dyDescent="0.25">
      <c r="A53" s="87"/>
      <c r="B53" s="86"/>
      <c r="C53" s="86"/>
      <c r="D53" s="86"/>
      <c r="E53" s="86"/>
      <c r="F53" s="86"/>
      <c r="G53" s="86"/>
      <c r="H53" s="86"/>
      <c r="I53" s="86"/>
      <c r="J53" s="86"/>
      <c r="K53" s="86"/>
      <c r="L53" s="86"/>
      <c r="M53" s="86"/>
      <c r="N53" s="86"/>
      <c r="O53" s="86"/>
      <c r="P53" s="86"/>
      <c r="Q53" s="74"/>
      <c r="R53" s="155"/>
      <c r="S53" s="155"/>
      <c r="T53" s="155"/>
      <c r="U53" s="155"/>
      <c r="V53" s="155"/>
      <c r="W53" s="155"/>
      <c r="X53" s="155"/>
      <c r="Y53" s="155"/>
      <c r="Z53" s="155"/>
      <c r="AA53" s="155"/>
      <c r="AB53" s="155"/>
      <c r="AC53" s="155"/>
      <c r="AD53" s="155"/>
      <c r="AE53" s="155"/>
      <c r="AF53" s="155"/>
      <c r="AG53" s="155"/>
      <c r="AH53" s="155"/>
      <c r="AI53" s="155"/>
    </row>
    <row r="54" spans="1:35" x14ac:dyDescent="0.25">
      <c r="A54" s="88"/>
      <c r="B54" s="104" t="s">
        <v>182</v>
      </c>
      <c r="C54" s="86"/>
      <c r="D54" s="86"/>
      <c r="E54" s="86"/>
      <c r="F54" s="86"/>
      <c r="G54" s="86"/>
      <c r="H54" s="86"/>
      <c r="I54" s="86"/>
      <c r="J54" s="86"/>
      <c r="K54" s="86"/>
      <c r="L54" s="86"/>
      <c r="M54" s="86"/>
      <c r="N54" s="86"/>
      <c r="O54" s="86"/>
      <c r="P54" s="86"/>
      <c r="Q54" s="74"/>
      <c r="R54" s="155"/>
      <c r="S54" s="155"/>
      <c r="T54" s="155"/>
      <c r="U54" s="155"/>
      <c r="V54" s="155"/>
      <c r="W54" s="155"/>
      <c r="X54" s="155"/>
      <c r="Y54" s="155"/>
      <c r="Z54" s="155"/>
      <c r="AA54" s="155"/>
      <c r="AB54" s="155"/>
      <c r="AC54" s="155"/>
      <c r="AD54" s="155"/>
      <c r="AE54" s="155"/>
      <c r="AF54" s="155"/>
      <c r="AG54" s="155"/>
      <c r="AH54" s="155"/>
      <c r="AI54" s="155"/>
    </row>
    <row r="55" spans="1:35" s="39" customFormat="1" ht="15.75" thickBot="1" x14ac:dyDescent="0.3">
      <c r="A55" s="226"/>
      <c r="B55" s="227"/>
      <c r="C55" s="228"/>
      <c r="D55" s="228"/>
      <c r="E55" s="228"/>
      <c r="F55" s="228"/>
      <c r="G55" s="228"/>
      <c r="H55" s="228"/>
      <c r="I55" s="228"/>
      <c r="J55" s="228"/>
      <c r="K55" s="228"/>
      <c r="L55" s="228"/>
      <c r="M55" s="228"/>
      <c r="N55" s="228"/>
      <c r="O55" s="228"/>
      <c r="P55" s="228"/>
      <c r="Q55" s="229"/>
      <c r="R55" s="155"/>
      <c r="S55" s="155"/>
      <c r="T55" s="155"/>
      <c r="U55" s="155"/>
      <c r="V55" s="155"/>
      <c r="W55" s="155"/>
      <c r="X55" s="155"/>
      <c r="Y55" s="155"/>
      <c r="Z55" s="155"/>
      <c r="AA55" s="155"/>
      <c r="AB55" s="155"/>
      <c r="AC55" s="155"/>
      <c r="AD55" s="155"/>
      <c r="AE55" s="155"/>
      <c r="AF55" s="155"/>
      <c r="AG55" s="155"/>
      <c r="AH55" s="155"/>
      <c r="AI55" s="155"/>
    </row>
    <row r="56" spans="1:35" ht="21.75" thickBot="1" x14ac:dyDescent="0.3">
      <c r="A56" s="225"/>
      <c r="B56" s="211"/>
      <c r="C56" s="211"/>
      <c r="D56" s="211"/>
      <c r="E56" s="211"/>
      <c r="F56" s="211"/>
      <c r="G56" s="211"/>
      <c r="H56" s="211"/>
      <c r="I56" s="211"/>
      <c r="J56" s="211"/>
      <c r="K56" s="211"/>
      <c r="L56" s="211"/>
      <c r="M56" s="211"/>
      <c r="N56" s="211"/>
      <c r="O56" s="211"/>
      <c r="P56" s="211"/>
      <c r="Q56" s="155"/>
      <c r="R56" s="155"/>
      <c r="S56" s="155"/>
      <c r="T56" s="155"/>
      <c r="U56" s="155"/>
      <c r="V56" s="155"/>
      <c r="W56" s="155"/>
      <c r="X56" s="155"/>
      <c r="Y56" s="155"/>
      <c r="Z56" s="155"/>
      <c r="AA56" s="155"/>
      <c r="AB56" s="155"/>
      <c r="AC56" s="155"/>
      <c r="AD56" s="155"/>
      <c r="AE56" s="155"/>
      <c r="AF56" s="155"/>
      <c r="AG56" s="155"/>
      <c r="AH56" s="155"/>
      <c r="AI56" s="155"/>
    </row>
    <row r="57" spans="1:35" ht="21" x14ac:dyDescent="0.25">
      <c r="A57" s="89" t="s">
        <v>161</v>
      </c>
      <c r="B57" s="90"/>
      <c r="C57" s="90"/>
      <c r="D57" s="90"/>
      <c r="E57" s="90"/>
      <c r="F57" s="90"/>
      <c r="G57" s="90"/>
      <c r="H57" s="90"/>
      <c r="I57" s="90"/>
      <c r="J57" s="90"/>
      <c r="K57" s="90"/>
      <c r="L57" s="90"/>
      <c r="M57" s="90"/>
      <c r="N57" s="90"/>
      <c r="O57" s="90"/>
      <c r="P57" s="90"/>
      <c r="Q57" s="67"/>
      <c r="R57" s="155"/>
      <c r="S57" s="155"/>
      <c r="T57" s="155"/>
      <c r="U57" s="155"/>
      <c r="V57" s="155"/>
      <c r="W57" s="155"/>
      <c r="X57" s="155"/>
      <c r="Y57" s="155"/>
      <c r="Z57" s="155"/>
      <c r="AA57" s="155"/>
      <c r="AB57" s="155"/>
      <c r="AC57" s="155"/>
      <c r="AD57" s="155"/>
      <c r="AE57" s="155"/>
      <c r="AF57" s="155"/>
      <c r="AG57" s="155"/>
      <c r="AH57" s="155"/>
      <c r="AI57" s="155"/>
    </row>
    <row r="58" spans="1:35" s="39" customFormat="1" ht="21" x14ac:dyDescent="0.25">
      <c r="A58" s="91"/>
      <c r="B58" s="92"/>
      <c r="C58" s="92"/>
      <c r="D58" s="92"/>
      <c r="E58" s="92"/>
      <c r="F58" s="92"/>
      <c r="G58" s="92"/>
      <c r="H58" s="92"/>
      <c r="I58" s="92"/>
      <c r="J58" s="92"/>
      <c r="K58" s="92"/>
      <c r="L58" s="92"/>
      <c r="M58" s="92"/>
      <c r="N58" s="92"/>
      <c r="O58" s="92"/>
      <c r="P58" s="92"/>
      <c r="Q58" s="68"/>
      <c r="R58" s="155"/>
      <c r="S58" s="155"/>
      <c r="T58" s="155"/>
      <c r="U58" s="155"/>
      <c r="V58" s="155"/>
      <c r="W58" s="155"/>
      <c r="X58" s="155"/>
      <c r="Y58" s="155"/>
      <c r="Z58" s="155"/>
      <c r="AA58" s="155"/>
      <c r="AB58" s="155"/>
      <c r="AC58" s="155"/>
      <c r="AD58" s="155"/>
      <c r="AE58" s="155"/>
      <c r="AF58" s="155"/>
      <c r="AG58" s="155"/>
      <c r="AH58" s="155"/>
      <c r="AI58" s="155"/>
    </row>
    <row r="59" spans="1:35" x14ac:dyDescent="0.25">
      <c r="A59" s="93" t="s">
        <v>277</v>
      </c>
      <c r="B59" s="92"/>
      <c r="C59" s="92"/>
      <c r="D59" s="92"/>
      <c r="E59" s="92"/>
      <c r="F59" s="92"/>
      <c r="G59" s="92"/>
      <c r="H59" s="92"/>
      <c r="I59" s="92"/>
      <c r="J59" s="92"/>
      <c r="K59" s="92"/>
      <c r="L59" s="92"/>
      <c r="M59" s="92"/>
      <c r="N59" s="92"/>
      <c r="O59" s="92"/>
      <c r="P59" s="92"/>
      <c r="Q59" s="68"/>
      <c r="R59" s="155"/>
      <c r="S59" s="155"/>
      <c r="T59" s="155"/>
      <c r="U59" s="155"/>
      <c r="V59" s="155"/>
      <c r="W59" s="155"/>
      <c r="X59" s="155"/>
      <c r="Y59" s="155"/>
      <c r="Z59" s="155"/>
      <c r="AA59" s="155"/>
      <c r="AB59" s="155"/>
      <c r="AC59" s="155"/>
      <c r="AD59" s="155"/>
      <c r="AE59" s="155"/>
      <c r="AF59" s="155"/>
      <c r="AG59" s="155"/>
      <c r="AH59" s="155"/>
      <c r="AI59" s="155"/>
    </row>
    <row r="60" spans="1:35" x14ac:dyDescent="0.25">
      <c r="A60" s="93" t="s">
        <v>278</v>
      </c>
      <c r="B60" s="92"/>
      <c r="C60" s="92"/>
      <c r="D60" s="92"/>
      <c r="E60" s="92"/>
      <c r="F60" s="92"/>
      <c r="G60" s="92"/>
      <c r="H60" s="92"/>
      <c r="I60" s="92"/>
      <c r="J60" s="92"/>
      <c r="K60" s="92"/>
      <c r="L60" s="92"/>
      <c r="M60" s="92"/>
      <c r="N60" s="92"/>
      <c r="O60" s="92"/>
      <c r="P60" s="92"/>
      <c r="Q60" s="68"/>
      <c r="R60" s="155"/>
      <c r="S60" s="155"/>
      <c r="T60" s="155"/>
      <c r="U60" s="155"/>
      <c r="V60" s="155"/>
      <c r="W60" s="155"/>
      <c r="X60" s="155"/>
      <c r="Y60" s="155"/>
      <c r="Z60" s="155"/>
      <c r="AA60" s="155"/>
      <c r="AB60" s="155"/>
      <c r="AC60" s="155"/>
      <c r="AD60" s="155"/>
      <c r="AE60" s="155"/>
      <c r="AF60" s="155"/>
      <c r="AG60" s="155"/>
      <c r="AH60" s="155"/>
      <c r="AI60" s="155"/>
    </row>
    <row r="61" spans="1:35" x14ac:dyDescent="0.25">
      <c r="A61" s="94" t="s">
        <v>279</v>
      </c>
      <c r="B61" s="92"/>
      <c r="C61" s="92"/>
      <c r="D61" s="92"/>
      <c r="E61" s="92"/>
      <c r="F61" s="92"/>
      <c r="G61" s="92"/>
      <c r="H61" s="92"/>
      <c r="I61" s="92"/>
      <c r="J61" s="92"/>
      <c r="K61" s="92"/>
      <c r="L61" s="92"/>
      <c r="M61" s="92"/>
      <c r="N61" s="92"/>
      <c r="O61" s="92"/>
      <c r="P61" s="92"/>
      <c r="Q61" s="68"/>
      <c r="R61" s="155"/>
      <c r="S61" s="155"/>
      <c r="T61" s="155"/>
      <c r="U61" s="155"/>
      <c r="V61" s="155"/>
      <c r="W61" s="155"/>
      <c r="X61" s="155"/>
      <c r="Y61" s="155"/>
      <c r="Z61" s="155"/>
      <c r="AA61" s="155"/>
      <c r="AB61" s="155"/>
      <c r="AC61" s="155"/>
      <c r="AD61" s="155"/>
      <c r="AE61" s="155"/>
      <c r="AF61" s="155"/>
      <c r="AG61" s="155"/>
      <c r="AH61" s="155"/>
      <c r="AI61" s="155"/>
    </row>
    <row r="62" spans="1:35" s="39" customFormat="1" x14ac:dyDescent="0.25">
      <c r="A62" s="94"/>
      <c r="B62" s="92"/>
      <c r="C62" s="92"/>
      <c r="D62" s="92"/>
      <c r="E62" s="92"/>
      <c r="F62" s="92"/>
      <c r="G62" s="92"/>
      <c r="H62" s="92"/>
      <c r="I62" s="92"/>
      <c r="J62" s="92"/>
      <c r="K62" s="92"/>
      <c r="L62" s="92"/>
      <c r="M62" s="92"/>
      <c r="N62" s="92"/>
      <c r="O62" s="92"/>
      <c r="P62" s="92"/>
      <c r="Q62" s="68"/>
      <c r="R62" s="155"/>
      <c r="S62" s="155"/>
      <c r="T62" s="155"/>
      <c r="U62" s="155"/>
      <c r="V62" s="155"/>
      <c r="W62" s="155"/>
      <c r="X62" s="155"/>
      <c r="Y62" s="155"/>
      <c r="Z62" s="155"/>
      <c r="AA62" s="155"/>
      <c r="AB62" s="155"/>
      <c r="AC62" s="155"/>
      <c r="AD62" s="155"/>
      <c r="AE62" s="155"/>
      <c r="AF62" s="155"/>
      <c r="AG62" s="155"/>
      <c r="AH62" s="155"/>
      <c r="AI62" s="155"/>
    </row>
    <row r="63" spans="1:35" s="39" customFormat="1" x14ac:dyDescent="0.25">
      <c r="A63" s="221" t="s">
        <v>276</v>
      </c>
      <c r="B63" s="92"/>
      <c r="C63" s="92"/>
      <c r="D63" s="92"/>
      <c r="E63" s="92"/>
      <c r="F63" s="92"/>
      <c r="G63" s="92"/>
      <c r="H63" s="92"/>
      <c r="I63" s="92"/>
      <c r="J63" s="92"/>
      <c r="K63" s="92"/>
      <c r="L63" s="92"/>
      <c r="M63" s="92"/>
      <c r="N63" s="92"/>
      <c r="O63" s="92"/>
      <c r="P63" s="92"/>
      <c r="Q63" s="68"/>
      <c r="R63" s="155"/>
      <c r="S63" s="155"/>
      <c r="T63" s="155"/>
      <c r="U63" s="155"/>
      <c r="V63" s="155"/>
      <c r="W63" s="155"/>
      <c r="X63" s="155"/>
      <c r="Y63" s="155"/>
      <c r="Z63" s="155"/>
      <c r="AA63" s="155"/>
      <c r="AB63" s="155"/>
      <c r="AC63" s="155"/>
      <c r="AD63" s="155"/>
      <c r="AE63" s="155"/>
      <c r="AF63" s="155"/>
      <c r="AG63" s="155"/>
      <c r="AH63" s="155"/>
      <c r="AI63" s="155"/>
    </row>
    <row r="64" spans="1:35" s="39" customFormat="1" x14ac:dyDescent="0.25">
      <c r="A64" s="94" t="s">
        <v>281</v>
      </c>
      <c r="B64" s="92"/>
      <c r="C64" s="223"/>
      <c r="D64" s="92"/>
      <c r="E64" s="92"/>
      <c r="F64" s="92"/>
      <c r="G64" s="92"/>
      <c r="H64" s="92"/>
      <c r="I64" s="92"/>
      <c r="J64" s="92"/>
      <c r="K64" s="92"/>
      <c r="L64" s="92"/>
      <c r="M64" s="92"/>
      <c r="N64" s="92"/>
      <c r="O64" s="92"/>
      <c r="P64" s="92"/>
      <c r="Q64" s="68"/>
      <c r="R64" s="155"/>
      <c r="S64" s="155"/>
      <c r="T64" s="155"/>
      <c r="U64" s="155"/>
      <c r="V64" s="155"/>
      <c r="W64" s="155"/>
      <c r="X64" s="155"/>
      <c r="Y64" s="155"/>
      <c r="Z64" s="155"/>
      <c r="AA64" s="155"/>
      <c r="AB64" s="155"/>
      <c r="AC64" s="155"/>
      <c r="AD64" s="155"/>
      <c r="AE64" s="155"/>
      <c r="AF64" s="155"/>
      <c r="AG64" s="155"/>
      <c r="AH64" s="155"/>
      <c r="AI64" s="155"/>
    </row>
    <row r="65" spans="1:35" x14ac:dyDescent="0.25">
      <c r="A65" s="223" t="s">
        <v>280</v>
      </c>
      <c r="B65" s="224" t="s">
        <v>273</v>
      </c>
      <c r="C65" s="92"/>
      <c r="D65" s="92"/>
      <c r="E65" s="92"/>
      <c r="F65" s="92"/>
      <c r="G65" s="92"/>
      <c r="H65" s="92"/>
      <c r="I65" s="92"/>
      <c r="J65" s="92"/>
      <c r="K65" s="92"/>
      <c r="L65" s="92"/>
      <c r="M65" s="92"/>
      <c r="N65" s="92"/>
      <c r="O65" s="92"/>
      <c r="P65" s="92"/>
      <c r="Q65" s="68"/>
      <c r="R65" s="155"/>
      <c r="S65" s="155"/>
      <c r="T65" s="155"/>
      <c r="U65" s="155"/>
      <c r="V65" s="155"/>
      <c r="W65" s="155"/>
      <c r="X65" s="155"/>
      <c r="Y65" s="155"/>
      <c r="Z65" s="155"/>
      <c r="AA65" s="155"/>
      <c r="AB65" s="155"/>
      <c r="AC65" s="155"/>
      <c r="AD65" s="155"/>
      <c r="AE65" s="155"/>
      <c r="AF65" s="155"/>
      <c r="AG65" s="155"/>
      <c r="AH65" s="155"/>
      <c r="AI65" s="155"/>
    </row>
    <row r="66" spans="1:35" s="39" customFormat="1" x14ac:dyDescent="0.25">
      <c r="A66" s="94"/>
      <c r="B66" s="223"/>
      <c r="C66" s="223"/>
      <c r="D66" s="92"/>
      <c r="E66" s="92"/>
      <c r="F66" s="92"/>
      <c r="G66" s="92"/>
      <c r="H66" s="92"/>
      <c r="I66" s="92"/>
      <c r="J66" s="92"/>
      <c r="K66" s="92"/>
      <c r="L66" s="92"/>
      <c r="M66" s="92"/>
      <c r="N66" s="92"/>
      <c r="O66" s="92"/>
      <c r="P66" s="92"/>
      <c r="Q66" s="68"/>
      <c r="R66" s="155"/>
      <c r="S66" s="155"/>
      <c r="T66" s="155"/>
      <c r="U66" s="155"/>
      <c r="V66" s="155"/>
      <c r="W66" s="155"/>
      <c r="X66" s="155"/>
      <c r="Y66" s="155"/>
      <c r="Z66" s="155"/>
      <c r="AA66" s="155"/>
      <c r="AB66" s="155"/>
      <c r="AC66" s="155"/>
      <c r="AD66" s="155"/>
      <c r="AE66" s="155"/>
      <c r="AF66" s="155"/>
      <c r="AG66" s="155"/>
      <c r="AH66" s="155"/>
      <c r="AI66" s="155"/>
    </row>
    <row r="67" spans="1:35" x14ac:dyDescent="0.25">
      <c r="A67" s="221" t="s">
        <v>274</v>
      </c>
      <c r="B67" s="92"/>
      <c r="C67" s="92"/>
      <c r="D67" s="92"/>
      <c r="E67" s="92"/>
      <c r="F67" s="92"/>
      <c r="G67" s="92"/>
      <c r="H67" s="92"/>
      <c r="I67" s="92"/>
      <c r="J67" s="92"/>
      <c r="K67" s="92"/>
      <c r="L67" s="92"/>
      <c r="M67" s="92"/>
      <c r="N67" s="92"/>
      <c r="O67" s="92"/>
      <c r="P67" s="92"/>
      <c r="Q67" s="68"/>
      <c r="R67" s="155"/>
      <c r="S67" s="155"/>
      <c r="T67" s="155"/>
      <c r="U67" s="155"/>
      <c r="V67" s="155"/>
      <c r="W67" s="155"/>
      <c r="X67" s="155"/>
      <c r="Y67" s="155"/>
      <c r="Z67" s="155"/>
      <c r="AA67" s="155"/>
      <c r="AB67" s="155"/>
      <c r="AC67" s="155"/>
      <c r="AD67" s="155"/>
      <c r="AE67" s="155"/>
      <c r="AF67" s="155"/>
      <c r="AG67" s="155"/>
      <c r="AH67" s="155"/>
      <c r="AI67" s="155"/>
    </row>
    <row r="68" spans="1:35" x14ac:dyDescent="0.25">
      <c r="A68" s="94" t="s">
        <v>185</v>
      </c>
      <c r="B68" s="92"/>
      <c r="C68" s="92"/>
      <c r="D68" s="92"/>
      <c r="E68" s="92"/>
      <c r="F68" s="92"/>
      <c r="G68" s="92"/>
      <c r="H68" s="92"/>
      <c r="I68" s="92"/>
      <c r="J68" s="92"/>
      <c r="K68" s="92"/>
      <c r="L68" s="92"/>
      <c r="M68" s="92"/>
      <c r="N68" s="92"/>
      <c r="O68" s="92"/>
      <c r="P68" s="92"/>
      <c r="Q68" s="68"/>
      <c r="R68" s="155"/>
      <c r="S68" s="155"/>
      <c r="T68" s="155"/>
      <c r="U68" s="155"/>
      <c r="V68" s="155"/>
      <c r="W68" s="155"/>
      <c r="X68" s="155"/>
      <c r="Y68" s="155"/>
      <c r="Z68" s="155"/>
      <c r="AA68" s="155"/>
      <c r="AB68" s="155"/>
      <c r="AC68" s="155"/>
      <c r="AD68" s="155"/>
      <c r="AE68" s="155"/>
      <c r="AF68" s="155"/>
      <c r="AG68" s="155"/>
      <c r="AH68" s="155"/>
      <c r="AI68" s="155"/>
    </row>
    <row r="69" spans="1:35" s="39" customFormat="1" x14ac:dyDescent="0.25">
      <c r="A69" s="223"/>
      <c r="B69" s="92"/>
      <c r="C69" s="92"/>
      <c r="D69" s="92"/>
      <c r="E69" s="92"/>
      <c r="F69" s="92"/>
      <c r="G69" s="92"/>
      <c r="H69" s="92"/>
      <c r="I69" s="92"/>
      <c r="J69" s="92"/>
      <c r="K69" s="92"/>
      <c r="L69" s="92"/>
      <c r="M69" s="92"/>
      <c r="N69" s="92"/>
      <c r="O69" s="92"/>
      <c r="P69" s="92"/>
      <c r="Q69" s="68"/>
      <c r="R69" s="155"/>
      <c r="S69" s="155"/>
      <c r="T69" s="155"/>
      <c r="U69" s="155"/>
      <c r="V69" s="155"/>
      <c r="W69" s="155"/>
      <c r="X69" s="155"/>
      <c r="Y69" s="155"/>
      <c r="Z69" s="155"/>
      <c r="AA69" s="155"/>
      <c r="AB69" s="155"/>
      <c r="AC69" s="155"/>
      <c r="AD69" s="155"/>
      <c r="AE69" s="155"/>
      <c r="AF69" s="155"/>
      <c r="AG69" s="155"/>
      <c r="AH69" s="155"/>
      <c r="AI69" s="155"/>
    </row>
    <row r="70" spans="1:35" s="39" customFormat="1" x14ac:dyDescent="0.25">
      <c r="A70" s="222" t="s">
        <v>275</v>
      </c>
      <c r="B70" s="92"/>
      <c r="C70" s="92"/>
      <c r="D70" s="92"/>
      <c r="E70" s="92"/>
      <c r="F70" s="92"/>
      <c r="G70" s="92"/>
      <c r="H70" s="92"/>
      <c r="I70" s="92"/>
      <c r="J70" s="92"/>
      <c r="K70" s="92"/>
      <c r="L70" s="92"/>
      <c r="M70" s="92"/>
      <c r="N70" s="92"/>
      <c r="O70" s="92"/>
      <c r="P70" s="92"/>
      <c r="Q70" s="68"/>
      <c r="R70" s="155"/>
      <c r="S70" s="155"/>
      <c r="T70" s="155"/>
      <c r="U70" s="155"/>
      <c r="V70" s="155"/>
      <c r="W70" s="155"/>
      <c r="X70" s="155"/>
      <c r="Y70" s="155"/>
      <c r="Z70" s="155"/>
      <c r="AA70" s="155"/>
      <c r="AB70" s="155"/>
      <c r="AC70" s="155"/>
      <c r="AD70" s="155"/>
      <c r="AE70" s="155"/>
      <c r="AF70" s="155"/>
      <c r="AG70" s="155"/>
      <c r="AH70" s="155"/>
      <c r="AI70" s="155"/>
    </row>
    <row r="71" spans="1:35" s="39" customFormat="1" x14ac:dyDescent="0.25">
      <c r="A71" s="94" t="s">
        <v>173</v>
      </c>
      <c r="B71" s="92"/>
      <c r="C71" s="92"/>
      <c r="D71" s="92"/>
      <c r="E71" s="92"/>
      <c r="F71" s="92"/>
      <c r="G71" s="92"/>
      <c r="H71" s="92"/>
      <c r="I71" s="92"/>
      <c r="J71" s="92"/>
      <c r="K71" s="92"/>
      <c r="L71" s="92"/>
      <c r="M71" s="92"/>
      <c r="N71" s="92"/>
      <c r="O71" s="92"/>
      <c r="P71" s="92"/>
      <c r="Q71" s="68"/>
      <c r="R71" s="155"/>
      <c r="S71" s="155"/>
      <c r="T71" s="155"/>
      <c r="U71" s="155"/>
      <c r="V71" s="155"/>
      <c r="W71" s="155"/>
      <c r="X71" s="155"/>
      <c r="Y71" s="155"/>
      <c r="Z71" s="155"/>
      <c r="AA71" s="155"/>
      <c r="AB71" s="155"/>
      <c r="AC71" s="155"/>
      <c r="AD71" s="155"/>
      <c r="AE71" s="155"/>
      <c r="AF71" s="155"/>
      <c r="AG71" s="155"/>
      <c r="AH71" s="155"/>
      <c r="AI71" s="155"/>
    </row>
    <row r="72" spans="1:35" x14ac:dyDescent="0.25">
      <c r="A72" s="94" t="s">
        <v>186</v>
      </c>
      <c r="B72" s="92"/>
      <c r="C72" s="92"/>
      <c r="D72" s="92"/>
      <c r="E72" s="92"/>
      <c r="F72" s="92"/>
      <c r="G72" s="92"/>
      <c r="H72" s="92"/>
      <c r="I72" s="92"/>
      <c r="J72" s="92"/>
      <c r="K72" s="92"/>
      <c r="L72" s="92"/>
      <c r="M72" s="92"/>
      <c r="N72" s="92"/>
      <c r="O72" s="92"/>
      <c r="P72" s="92"/>
      <c r="Q72" s="68"/>
      <c r="R72" s="155"/>
      <c r="S72" s="155"/>
      <c r="T72" s="155"/>
      <c r="U72" s="155"/>
      <c r="V72" s="155"/>
      <c r="W72" s="155"/>
      <c r="X72" s="155"/>
      <c r="Y72" s="155"/>
      <c r="Z72" s="155"/>
      <c r="AA72" s="155"/>
      <c r="AB72" s="155"/>
      <c r="AC72" s="155"/>
      <c r="AD72" s="155"/>
      <c r="AE72" s="155"/>
      <c r="AF72" s="155"/>
      <c r="AG72" s="155"/>
      <c r="AH72" s="155"/>
      <c r="AI72" s="155"/>
    </row>
    <row r="73" spans="1:35" x14ac:dyDescent="0.25">
      <c r="A73" s="266" t="s">
        <v>174</v>
      </c>
      <c r="B73" s="267"/>
      <c r="C73" s="92"/>
      <c r="D73" s="92"/>
      <c r="E73" s="92"/>
      <c r="F73" s="92"/>
      <c r="G73" s="92"/>
      <c r="H73" s="92"/>
      <c r="I73" s="92"/>
      <c r="J73" s="92"/>
      <c r="K73" s="92"/>
      <c r="L73" s="92"/>
      <c r="M73" s="92"/>
      <c r="N73" s="92"/>
      <c r="O73" s="92"/>
      <c r="P73" s="92"/>
      <c r="Q73" s="68"/>
      <c r="R73" s="155"/>
      <c r="S73" s="155"/>
      <c r="T73" s="155"/>
      <c r="U73" s="155"/>
      <c r="V73" s="155"/>
      <c r="W73" s="155"/>
      <c r="X73" s="155"/>
      <c r="Y73" s="155"/>
      <c r="Z73" s="155"/>
      <c r="AA73" s="155"/>
      <c r="AB73" s="155"/>
      <c r="AC73" s="155"/>
      <c r="AD73" s="155"/>
      <c r="AE73" s="155"/>
      <c r="AF73" s="155"/>
      <c r="AG73" s="155"/>
      <c r="AH73" s="155"/>
      <c r="AI73" s="155"/>
    </row>
    <row r="74" spans="1:35" s="39" customFormat="1" ht="15.75" thickBot="1" x14ac:dyDescent="0.3">
      <c r="A74" s="101" t="s">
        <v>283</v>
      </c>
      <c r="B74" s="265"/>
      <c r="C74" s="265"/>
      <c r="D74" s="265"/>
      <c r="E74" s="265"/>
      <c r="F74" s="265"/>
      <c r="G74" s="265"/>
      <c r="H74" s="265"/>
      <c r="I74" s="265"/>
      <c r="J74" s="265"/>
      <c r="K74" s="265"/>
      <c r="L74" s="265"/>
      <c r="M74" s="95"/>
      <c r="N74" s="95"/>
      <c r="O74" s="95"/>
      <c r="P74" s="95"/>
      <c r="Q74" s="69"/>
      <c r="R74" s="155"/>
      <c r="S74" s="155"/>
      <c r="T74" s="155"/>
      <c r="U74" s="155"/>
      <c r="V74" s="155"/>
      <c r="W74" s="155"/>
      <c r="X74" s="155"/>
      <c r="Y74" s="155"/>
      <c r="Z74" s="155"/>
      <c r="AA74" s="155"/>
      <c r="AB74" s="155"/>
      <c r="AC74" s="155"/>
      <c r="AD74" s="155"/>
      <c r="AE74" s="155"/>
      <c r="AF74" s="155"/>
      <c r="AG74" s="155"/>
      <c r="AH74" s="155"/>
      <c r="AI74" s="155"/>
    </row>
    <row r="75" spans="1:35" ht="15.75" thickBot="1" x14ac:dyDescent="0.3">
      <c r="B75" s="213"/>
      <c r="C75" s="213"/>
      <c r="D75" s="213"/>
      <c r="E75" s="213"/>
      <c r="F75" s="213"/>
      <c r="G75" s="213"/>
      <c r="H75" s="213"/>
      <c r="I75" s="213"/>
      <c r="J75" s="213"/>
      <c r="K75" s="213"/>
      <c r="L75" s="213"/>
      <c r="M75" s="213"/>
      <c r="N75" s="213"/>
      <c r="O75" s="213"/>
      <c r="P75" s="213"/>
      <c r="Q75" s="155"/>
      <c r="R75" s="155"/>
      <c r="S75" s="155"/>
      <c r="T75" s="155"/>
      <c r="U75" s="155"/>
      <c r="V75" s="155"/>
      <c r="W75" s="155"/>
      <c r="X75" s="155"/>
      <c r="Y75" s="155"/>
      <c r="Z75" s="155"/>
      <c r="AA75" s="155"/>
      <c r="AB75" s="155"/>
      <c r="AC75" s="155"/>
      <c r="AD75" s="155"/>
      <c r="AE75" s="155"/>
      <c r="AF75" s="155"/>
      <c r="AG75" s="155"/>
      <c r="AH75" s="155"/>
      <c r="AI75" s="155"/>
    </row>
    <row r="76" spans="1:35" ht="21" x14ac:dyDescent="0.25">
      <c r="A76" s="96"/>
      <c r="B76" s="97"/>
      <c r="C76" s="97"/>
      <c r="D76" s="97"/>
      <c r="E76" s="97"/>
      <c r="F76" s="97"/>
      <c r="G76" s="97"/>
      <c r="H76" s="97"/>
      <c r="I76" s="97"/>
      <c r="J76" s="97"/>
      <c r="K76" s="97"/>
      <c r="L76" s="97"/>
      <c r="M76" s="97"/>
      <c r="N76" s="97"/>
      <c r="O76" s="97"/>
      <c r="P76" s="97"/>
      <c r="Q76" s="70"/>
      <c r="R76" s="155"/>
      <c r="S76" s="155"/>
      <c r="T76" s="155"/>
      <c r="U76" s="155"/>
      <c r="V76" s="155"/>
      <c r="W76" s="155"/>
      <c r="X76" s="155"/>
      <c r="Y76" s="155"/>
      <c r="Z76" s="155"/>
      <c r="AA76" s="155"/>
      <c r="AB76" s="155"/>
      <c r="AC76" s="155"/>
      <c r="AD76" s="155"/>
      <c r="AE76" s="155"/>
      <c r="AF76" s="155"/>
      <c r="AG76" s="155"/>
      <c r="AH76" s="155"/>
      <c r="AI76" s="155"/>
    </row>
    <row r="77" spans="1:35" ht="21" x14ac:dyDescent="0.25">
      <c r="A77" s="98" t="s">
        <v>172</v>
      </c>
      <c r="B77" s="77"/>
      <c r="C77" s="77"/>
      <c r="D77" s="77"/>
      <c r="E77" s="77"/>
      <c r="F77" s="77"/>
      <c r="G77" s="77"/>
      <c r="H77" s="77"/>
      <c r="I77" s="77"/>
      <c r="J77" s="77"/>
      <c r="K77" s="77"/>
      <c r="L77" s="77"/>
      <c r="M77" s="77"/>
      <c r="N77" s="77"/>
      <c r="O77" s="77"/>
      <c r="P77" s="77"/>
      <c r="Q77" s="71"/>
      <c r="R77" s="155"/>
      <c r="S77" s="155"/>
      <c r="T77" s="155"/>
      <c r="U77" s="155"/>
      <c r="V77" s="155"/>
      <c r="W77" s="155"/>
      <c r="X77" s="155"/>
      <c r="Y77" s="155"/>
      <c r="Z77" s="155"/>
      <c r="AA77" s="155"/>
      <c r="AB77" s="155"/>
      <c r="AC77" s="155"/>
      <c r="AD77" s="155"/>
      <c r="AE77" s="155"/>
      <c r="AF77" s="155"/>
      <c r="AG77" s="155"/>
      <c r="AH77" s="155"/>
      <c r="AI77" s="155"/>
    </row>
    <row r="78" spans="1:35" x14ac:dyDescent="0.25">
      <c r="A78" s="79"/>
      <c r="B78" s="77"/>
      <c r="C78" s="77"/>
      <c r="D78" s="77"/>
      <c r="E78" s="77"/>
      <c r="F78" s="77"/>
      <c r="G78" s="77"/>
      <c r="H78" s="77"/>
      <c r="I78" s="77"/>
      <c r="J78" s="77"/>
      <c r="K78" s="77"/>
      <c r="L78" s="77"/>
      <c r="M78" s="77"/>
      <c r="N78" s="77"/>
      <c r="O78" s="77"/>
      <c r="P78" s="77"/>
      <c r="Q78" s="71"/>
      <c r="R78" s="155"/>
      <c r="S78" s="155"/>
      <c r="T78" s="155"/>
      <c r="U78" s="155"/>
      <c r="V78" s="155"/>
      <c r="W78" s="155"/>
      <c r="X78" s="155"/>
      <c r="Y78" s="155"/>
      <c r="Z78" s="155"/>
      <c r="AA78" s="155"/>
      <c r="AB78" s="155"/>
      <c r="AC78" s="155"/>
      <c r="AD78" s="155"/>
      <c r="AE78" s="155"/>
      <c r="AF78" s="155"/>
      <c r="AG78" s="155"/>
      <c r="AH78" s="155"/>
      <c r="AI78" s="155"/>
    </row>
    <row r="79" spans="1:35" x14ac:dyDescent="0.25">
      <c r="A79" s="99" t="s">
        <v>175</v>
      </c>
      <c r="B79" s="77"/>
      <c r="C79" s="77"/>
      <c r="D79" s="77"/>
      <c r="E79" s="77"/>
      <c r="F79" s="77"/>
      <c r="G79" s="77"/>
      <c r="H79" s="77"/>
      <c r="I79" s="77"/>
      <c r="J79" s="77"/>
      <c r="K79" s="77"/>
      <c r="L79" s="77"/>
      <c r="M79" s="77"/>
      <c r="N79" s="77"/>
      <c r="O79" s="77"/>
      <c r="P79" s="77"/>
      <c r="Q79" s="71"/>
      <c r="R79" s="155"/>
      <c r="S79" s="155"/>
      <c r="T79" s="155"/>
      <c r="U79" s="155"/>
      <c r="V79" s="155"/>
      <c r="W79" s="155"/>
      <c r="X79" s="155"/>
      <c r="Y79" s="155"/>
      <c r="Z79" s="155"/>
      <c r="AA79" s="155"/>
      <c r="AB79" s="155"/>
      <c r="AC79" s="155"/>
      <c r="AD79" s="155"/>
      <c r="AE79" s="155"/>
      <c r="AF79" s="155"/>
      <c r="AG79" s="155"/>
      <c r="AH79" s="155"/>
      <c r="AI79" s="155"/>
    </row>
    <row r="80" spans="1:35" x14ac:dyDescent="0.25">
      <c r="A80" s="99" t="s">
        <v>187</v>
      </c>
      <c r="B80" s="77"/>
      <c r="C80" s="77"/>
      <c r="D80" s="77"/>
      <c r="E80" s="77"/>
      <c r="F80" s="77"/>
      <c r="G80" s="77"/>
      <c r="H80" s="77"/>
      <c r="I80" s="77"/>
      <c r="J80" s="77"/>
      <c r="K80" s="77"/>
      <c r="L80" s="77"/>
      <c r="M80" s="77"/>
      <c r="N80" s="77"/>
      <c r="O80" s="77"/>
      <c r="P80" s="77"/>
      <c r="Q80" s="71"/>
      <c r="R80" s="155"/>
      <c r="S80" s="155"/>
      <c r="T80" s="155"/>
      <c r="U80" s="155"/>
      <c r="V80" s="155"/>
      <c r="W80" s="155"/>
      <c r="X80" s="155"/>
      <c r="Y80" s="155"/>
      <c r="Z80" s="155"/>
      <c r="AA80" s="155"/>
      <c r="AB80" s="155"/>
      <c r="AC80" s="155"/>
      <c r="AD80" s="155"/>
      <c r="AE80" s="155"/>
      <c r="AF80" s="155"/>
      <c r="AG80" s="155"/>
      <c r="AH80" s="155"/>
      <c r="AI80" s="155"/>
    </row>
    <row r="81" spans="1:35" s="23" customFormat="1" x14ac:dyDescent="0.25">
      <c r="A81" s="99" t="s">
        <v>176</v>
      </c>
      <c r="B81" s="77"/>
      <c r="C81" s="77"/>
      <c r="D81" s="77"/>
      <c r="E81" s="77"/>
      <c r="F81" s="77"/>
      <c r="G81" s="77"/>
      <c r="H81" s="77"/>
      <c r="I81" s="77"/>
      <c r="J81" s="77"/>
      <c r="K81" s="77"/>
      <c r="L81" s="77"/>
      <c r="M81" s="77"/>
      <c r="N81" s="77"/>
      <c r="O81" s="77"/>
      <c r="P81" s="77"/>
      <c r="Q81" s="78"/>
      <c r="R81" s="211"/>
      <c r="S81" s="211"/>
      <c r="T81" s="211"/>
      <c r="U81" s="211"/>
      <c r="V81" s="211"/>
      <c r="W81" s="211"/>
      <c r="X81" s="211"/>
      <c r="Y81" s="211"/>
      <c r="Z81" s="211"/>
      <c r="AA81" s="211"/>
      <c r="AB81" s="211"/>
      <c r="AC81" s="211"/>
      <c r="AD81" s="211"/>
      <c r="AE81" s="211"/>
      <c r="AF81" s="211"/>
      <c r="AG81" s="211"/>
      <c r="AH81" s="211"/>
      <c r="AI81" s="211"/>
    </row>
    <row r="82" spans="1:35" x14ac:dyDescent="0.25">
      <c r="A82" s="99" t="s">
        <v>177</v>
      </c>
      <c r="B82" s="77"/>
      <c r="C82" s="77"/>
      <c r="D82" s="77"/>
      <c r="E82" s="77"/>
      <c r="F82" s="77"/>
      <c r="G82" s="77"/>
      <c r="H82" s="77"/>
      <c r="I82" s="77"/>
      <c r="J82" s="77"/>
      <c r="K82" s="77"/>
      <c r="L82" s="77"/>
      <c r="M82" s="77"/>
      <c r="N82" s="77"/>
      <c r="O82" s="77"/>
      <c r="P82" s="77"/>
      <c r="Q82" s="71"/>
      <c r="R82" s="155"/>
      <c r="S82" s="155"/>
      <c r="T82" s="155"/>
      <c r="U82" s="155"/>
      <c r="V82" s="155"/>
      <c r="W82" s="155"/>
      <c r="X82" s="155"/>
      <c r="Y82" s="155"/>
      <c r="Z82" s="155"/>
      <c r="AA82" s="155"/>
      <c r="AB82" s="155"/>
      <c r="AC82" s="155"/>
      <c r="AD82" s="155"/>
      <c r="AE82" s="155"/>
      <c r="AF82" s="155"/>
      <c r="AG82" s="155"/>
      <c r="AH82" s="155"/>
      <c r="AI82" s="155"/>
    </row>
    <row r="83" spans="1:35" x14ac:dyDescent="0.25">
      <c r="A83" s="99" t="s">
        <v>268</v>
      </c>
      <c r="B83" s="77"/>
      <c r="C83" s="77"/>
      <c r="D83" s="77"/>
      <c r="E83" s="77"/>
      <c r="F83" s="77"/>
      <c r="G83" s="77"/>
      <c r="H83" s="77"/>
      <c r="I83" s="77"/>
      <c r="J83" s="77"/>
      <c r="K83" s="77"/>
      <c r="L83" s="77"/>
      <c r="M83" s="77"/>
      <c r="N83" s="77"/>
      <c r="O83" s="77"/>
      <c r="P83" s="77"/>
      <c r="Q83" s="71"/>
      <c r="R83" s="155"/>
      <c r="S83" s="155"/>
      <c r="T83" s="155"/>
      <c r="U83" s="155"/>
      <c r="V83" s="155"/>
      <c r="W83" s="155"/>
      <c r="X83" s="155"/>
      <c r="Y83" s="155"/>
      <c r="Z83" s="155"/>
      <c r="AA83" s="155"/>
      <c r="AB83" s="155"/>
      <c r="AC83" s="155"/>
      <c r="AD83" s="155"/>
      <c r="AE83" s="155"/>
      <c r="AF83" s="155"/>
      <c r="AG83" s="155"/>
      <c r="AH83" s="155"/>
      <c r="AI83" s="155"/>
    </row>
    <row r="84" spans="1:35" x14ac:dyDescent="0.25">
      <c r="A84" s="79"/>
      <c r="B84" s="77"/>
      <c r="C84" s="77"/>
      <c r="D84" s="77"/>
      <c r="E84" s="77"/>
      <c r="F84" s="77"/>
      <c r="G84" s="77"/>
      <c r="H84" s="77"/>
      <c r="I84" s="77"/>
      <c r="J84" s="77"/>
      <c r="K84" s="77"/>
      <c r="L84" s="77"/>
      <c r="M84" s="77"/>
      <c r="N84" s="77"/>
      <c r="O84" s="77"/>
      <c r="P84" s="77"/>
      <c r="Q84" s="71"/>
      <c r="R84" s="155"/>
      <c r="S84" s="155"/>
      <c r="T84" s="155"/>
      <c r="U84" s="155"/>
      <c r="V84" s="155"/>
      <c r="W84" s="155"/>
      <c r="X84" s="155"/>
      <c r="Y84" s="155"/>
      <c r="Z84" s="155"/>
      <c r="AA84" s="155"/>
      <c r="AB84" s="155"/>
      <c r="AC84" s="155"/>
      <c r="AD84" s="155"/>
      <c r="AE84" s="155"/>
      <c r="AF84" s="155"/>
      <c r="AG84" s="155"/>
      <c r="AH84" s="155"/>
      <c r="AI84" s="155"/>
    </row>
    <row r="85" spans="1:35" x14ac:dyDescent="0.25">
      <c r="A85" s="79" t="s">
        <v>188</v>
      </c>
      <c r="B85" s="77"/>
      <c r="C85" s="77"/>
      <c r="D85" s="77"/>
      <c r="E85" s="77"/>
      <c r="F85" s="77"/>
      <c r="G85" s="77"/>
      <c r="H85" s="77"/>
      <c r="I85" s="77"/>
      <c r="J85" s="77"/>
      <c r="K85" s="77"/>
      <c r="L85" s="77"/>
      <c r="M85" s="77"/>
      <c r="N85" s="77"/>
      <c r="O85" s="77"/>
      <c r="P85" s="77"/>
      <c r="Q85" s="71"/>
      <c r="R85" s="155"/>
      <c r="S85" s="155"/>
      <c r="T85" s="155"/>
      <c r="U85" s="155"/>
      <c r="V85" s="155"/>
      <c r="W85" s="155"/>
      <c r="X85" s="155"/>
      <c r="Y85" s="155"/>
      <c r="Z85" s="155"/>
      <c r="AA85" s="155"/>
      <c r="AB85" s="155"/>
      <c r="AC85" s="155"/>
      <c r="AD85" s="155"/>
      <c r="AE85" s="155"/>
      <c r="AF85" s="155"/>
      <c r="AG85" s="155"/>
      <c r="AH85" s="155"/>
      <c r="AI85" s="155"/>
    </row>
    <row r="86" spans="1:35" ht="16.5" thickBot="1" x14ac:dyDescent="0.3">
      <c r="A86" s="100" t="s">
        <v>299</v>
      </c>
      <c r="B86" s="80"/>
      <c r="C86" s="80"/>
      <c r="D86" s="80"/>
      <c r="E86" s="80"/>
      <c r="F86" s="80"/>
      <c r="G86" s="80"/>
      <c r="H86" s="80"/>
      <c r="I86" s="80"/>
      <c r="J86" s="80"/>
      <c r="K86" s="80"/>
      <c r="L86" s="80"/>
      <c r="M86" s="80"/>
      <c r="N86" s="80"/>
      <c r="O86" s="80"/>
      <c r="P86" s="80"/>
      <c r="Q86" s="72"/>
      <c r="R86" s="155"/>
      <c r="S86" s="155"/>
      <c r="T86" s="155"/>
      <c r="U86" s="155"/>
      <c r="V86" s="155"/>
      <c r="W86" s="155"/>
      <c r="X86" s="155"/>
      <c r="Y86" s="155"/>
      <c r="Z86" s="155"/>
      <c r="AA86" s="155"/>
      <c r="AB86" s="155"/>
      <c r="AC86" s="155"/>
      <c r="AD86" s="155"/>
      <c r="AE86" s="155"/>
      <c r="AF86" s="155"/>
      <c r="AG86" s="155"/>
      <c r="AH86" s="155"/>
      <c r="AI86" s="155"/>
    </row>
    <row r="87" spans="1:35" s="39" customFormat="1" ht="15.75" thickBot="1" x14ac:dyDescent="0.3">
      <c r="A87" s="157"/>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row>
    <row r="88" spans="1:35" ht="21" x14ac:dyDescent="0.35">
      <c r="A88" s="277" t="s">
        <v>284</v>
      </c>
      <c r="B88" s="268"/>
      <c r="C88" s="268"/>
      <c r="D88" s="268"/>
      <c r="E88" s="268"/>
      <c r="F88" s="268"/>
      <c r="G88" s="268"/>
      <c r="H88" s="268"/>
      <c r="I88" s="268"/>
      <c r="J88" s="268"/>
      <c r="K88" s="268"/>
      <c r="L88" s="268"/>
      <c r="M88" s="268"/>
      <c r="N88" s="268"/>
      <c r="O88" s="268"/>
      <c r="P88" s="268"/>
      <c r="Q88" s="269"/>
      <c r="R88" s="155"/>
      <c r="S88" s="155"/>
      <c r="T88" s="155"/>
      <c r="U88" s="155"/>
      <c r="V88" s="155"/>
      <c r="W88" s="155"/>
      <c r="X88" s="155"/>
      <c r="Y88" s="155"/>
      <c r="Z88" s="155"/>
      <c r="AA88" s="155"/>
      <c r="AB88" s="155"/>
      <c r="AC88" s="155"/>
      <c r="AD88" s="155"/>
      <c r="AE88" s="155"/>
      <c r="AF88" s="155"/>
      <c r="AG88" s="155"/>
      <c r="AH88" s="155"/>
      <c r="AI88" s="155"/>
    </row>
    <row r="89" spans="1:35" s="39" customFormat="1" x14ac:dyDescent="0.25">
      <c r="A89" s="270"/>
      <c r="B89" s="271"/>
      <c r="C89" s="271"/>
      <c r="D89" s="271"/>
      <c r="E89" s="271"/>
      <c r="F89" s="271"/>
      <c r="G89" s="271"/>
      <c r="H89" s="271"/>
      <c r="I89" s="271"/>
      <c r="J89" s="271"/>
      <c r="K89" s="271"/>
      <c r="L89" s="271"/>
      <c r="M89" s="271"/>
      <c r="N89" s="271"/>
      <c r="O89" s="271"/>
      <c r="P89" s="271"/>
      <c r="Q89" s="272"/>
      <c r="R89" s="155"/>
      <c r="S89" s="155"/>
      <c r="T89" s="155"/>
      <c r="U89" s="155"/>
      <c r="V89" s="155"/>
      <c r="W89" s="155"/>
      <c r="X89" s="155"/>
      <c r="Y89" s="155"/>
      <c r="Z89" s="155"/>
      <c r="AA89" s="155"/>
      <c r="AB89" s="155"/>
      <c r="AC89" s="155"/>
      <c r="AD89" s="155"/>
      <c r="AE89" s="155"/>
      <c r="AF89" s="155"/>
      <c r="AG89" s="155"/>
      <c r="AH89" s="155"/>
      <c r="AI89" s="155"/>
    </row>
    <row r="90" spans="1:35" s="39" customFormat="1" x14ac:dyDescent="0.25">
      <c r="A90" s="270" t="s">
        <v>292</v>
      </c>
      <c r="B90" s="271"/>
      <c r="C90" s="271"/>
      <c r="D90" s="271"/>
      <c r="E90" s="271"/>
      <c r="F90" s="271"/>
      <c r="G90" s="271"/>
      <c r="H90" s="271"/>
      <c r="I90" s="271"/>
      <c r="J90" s="271"/>
      <c r="K90" s="271"/>
      <c r="L90" s="271"/>
      <c r="M90" s="271"/>
      <c r="N90" s="271"/>
      <c r="O90" s="271"/>
      <c r="P90" s="271"/>
      <c r="Q90" s="272"/>
      <c r="R90" s="155"/>
      <c r="S90" s="155"/>
      <c r="T90" s="155"/>
      <c r="U90" s="155"/>
      <c r="V90" s="155"/>
      <c r="W90" s="155"/>
      <c r="X90" s="155"/>
      <c r="Y90" s="155"/>
      <c r="Z90" s="155"/>
      <c r="AA90" s="155"/>
      <c r="AB90" s="155"/>
      <c r="AC90" s="155"/>
      <c r="AD90" s="155"/>
      <c r="AE90" s="155"/>
      <c r="AF90" s="155"/>
      <c r="AG90" s="155"/>
      <c r="AH90" s="155"/>
      <c r="AI90" s="155"/>
    </row>
    <row r="91" spans="1:35" s="39" customFormat="1" x14ac:dyDescent="0.25">
      <c r="A91" s="273" t="s">
        <v>294</v>
      </c>
      <c r="B91" s="271"/>
      <c r="C91" s="271"/>
      <c r="D91" s="271"/>
      <c r="E91" s="271"/>
      <c r="F91" s="271"/>
      <c r="G91" s="271"/>
      <c r="H91" s="271"/>
      <c r="I91" s="271"/>
      <c r="J91" s="271"/>
      <c r="K91" s="271"/>
      <c r="L91" s="271"/>
      <c r="M91" s="271"/>
      <c r="N91" s="271"/>
      <c r="O91" s="271"/>
      <c r="P91" s="271"/>
      <c r="Q91" s="272"/>
      <c r="R91" s="155"/>
      <c r="S91" s="155"/>
      <c r="T91" s="155"/>
      <c r="U91" s="155"/>
      <c r="V91" s="155"/>
      <c r="W91" s="155"/>
      <c r="X91" s="155"/>
      <c r="Y91" s="155"/>
      <c r="Z91" s="155"/>
      <c r="AA91" s="155"/>
      <c r="AB91" s="155"/>
      <c r="AC91" s="155"/>
      <c r="AD91" s="155"/>
      <c r="AE91" s="155"/>
      <c r="AF91" s="155"/>
      <c r="AG91" s="155"/>
      <c r="AH91" s="155"/>
      <c r="AI91" s="155"/>
    </row>
    <row r="92" spans="1:35" s="39" customFormat="1" x14ac:dyDescent="0.25">
      <c r="A92" s="273" t="s">
        <v>296</v>
      </c>
      <c r="B92" s="271"/>
      <c r="C92" s="271"/>
      <c r="D92" s="271"/>
      <c r="E92" s="271"/>
      <c r="F92" s="271"/>
      <c r="G92" s="271"/>
      <c r="H92" s="271"/>
      <c r="I92" s="271"/>
      <c r="J92" s="271"/>
      <c r="K92" s="271"/>
      <c r="L92" s="271"/>
      <c r="M92" s="271"/>
      <c r="N92" s="271"/>
      <c r="O92" s="271"/>
      <c r="P92" s="271"/>
      <c r="Q92" s="272"/>
      <c r="R92" s="155"/>
      <c r="S92" s="155"/>
      <c r="T92" s="155"/>
      <c r="U92" s="155"/>
      <c r="V92" s="155"/>
      <c r="W92" s="155"/>
      <c r="X92" s="155"/>
      <c r="Y92" s="155"/>
      <c r="Z92" s="155"/>
      <c r="AA92" s="155"/>
      <c r="AB92" s="155"/>
      <c r="AC92" s="155"/>
      <c r="AD92" s="155"/>
      <c r="AE92" s="155"/>
      <c r="AF92" s="155"/>
      <c r="AG92" s="155"/>
      <c r="AH92" s="155"/>
      <c r="AI92" s="155"/>
    </row>
    <row r="93" spans="1:35" s="39" customFormat="1" x14ac:dyDescent="0.25">
      <c r="A93" s="273" t="s">
        <v>293</v>
      </c>
      <c r="B93" s="271"/>
      <c r="C93" s="271"/>
      <c r="D93" s="271"/>
      <c r="E93" s="271"/>
      <c r="F93" s="271"/>
      <c r="G93" s="271"/>
      <c r="H93" s="271"/>
      <c r="I93" s="271"/>
      <c r="J93" s="271"/>
      <c r="K93" s="271"/>
      <c r="L93" s="271"/>
      <c r="M93" s="271"/>
      <c r="N93" s="271"/>
      <c r="O93" s="271"/>
      <c r="P93" s="271"/>
      <c r="Q93" s="272"/>
      <c r="R93" s="155"/>
      <c r="S93" s="155"/>
      <c r="T93" s="155"/>
      <c r="U93" s="155"/>
      <c r="V93" s="155"/>
      <c r="W93" s="155"/>
      <c r="X93" s="155"/>
      <c r="Y93" s="155"/>
      <c r="Z93" s="155"/>
      <c r="AA93" s="155"/>
      <c r="AB93" s="155"/>
      <c r="AC93" s="155"/>
      <c r="AD93" s="155"/>
      <c r="AE93" s="155"/>
      <c r="AF93" s="155"/>
      <c r="AG93" s="155"/>
      <c r="AH93" s="155"/>
      <c r="AI93" s="155"/>
    </row>
    <row r="94" spans="1:35" s="39" customFormat="1" x14ac:dyDescent="0.25">
      <c r="A94" s="278"/>
      <c r="B94" s="271"/>
      <c r="C94" s="271"/>
      <c r="D94" s="271"/>
      <c r="E94" s="271"/>
      <c r="F94" s="271"/>
      <c r="G94" s="271"/>
      <c r="H94" s="271"/>
      <c r="I94" s="271"/>
      <c r="J94" s="271"/>
      <c r="K94" s="271"/>
      <c r="L94" s="271"/>
      <c r="M94" s="271"/>
      <c r="N94" s="271"/>
      <c r="O94" s="271"/>
      <c r="P94" s="271"/>
      <c r="Q94" s="272"/>
      <c r="R94" s="155"/>
      <c r="S94" s="155"/>
      <c r="T94" s="155"/>
      <c r="U94" s="155"/>
      <c r="V94" s="155"/>
      <c r="W94" s="155"/>
      <c r="X94" s="155"/>
      <c r="Y94" s="155"/>
      <c r="Z94" s="155"/>
      <c r="AA94" s="155"/>
      <c r="AB94" s="155"/>
      <c r="AC94" s="155"/>
      <c r="AD94" s="155"/>
      <c r="AE94" s="155"/>
      <c r="AF94" s="155"/>
      <c r="AG94" s="155"/>
      <c r="AH94" s="155"/>
      <c r="AI94" s="155"/>
    </row>
    <row r="95" spans="1:35" s="39" customFormat="1" x14ac:dyDescent="0.25">
      <c r="A95" s="270" t="s">
        <v>288</v>
      </c>
      <c r="B95" s="271"/>
      <c r="C95" s="271"/>
      <c r="D95" s="271"/>
      <c r="E95" s="271"/>
      <c r="F95" s="271"/>
      <c r="G95" s="271"/>
      <c r="H95" s="271"/>
      <c r="I95" s="271"/>
      <c r="J95" s="271"/>
      <c r="K95" s="271"/>
      <c r="L95" s="271"/>
      <c r="M95" s="271"/>
      <c r="N95" s="271"/>
      <c r="O95" s="271"/>
      <c r="P95" s="271"/>
      <c r="Q95" s="272"/>
      <c r="R95" s="155"/>
      <c r="S95" s="155"/>
      <c r="T95" s="155"/>
      <c r="U95" s="155"/>
      <c r="V95" s="155"/>
      <c r="W95" s="155"/>
      <c r="X95" s="155"/>
      <c r="Y95" s="155"/>
      <c r="Z95" s="155"/>
      <c r="AA95" s="155"/>
      <c r="AB95" s="155"/>
      <c r="AC95" s="155"/>
      <c r="AD95" s="155"/>
      <c r="AE95" s="155"/>
      <c r="AF95" s="155"/>
      <c r="AG95" s="155"/>
      <c r="AH95" s="155"/>
      <c r="AI95" s="155"/>
    </row>
    <row r="96" spans="1:35" s="39" customFormat="1" x14ac:dyDescent="0.25">
      <c r="A96" s="278" t="s">
        <v>300</v>
      </c>
      <c r="B96" s="271"/>
      <c r="C96" s="271"/>
      <c r="D96" s="271"/>
      <c r="E96" s="271"/>
      <c r="F96" s="271"/>
      <c r="G96" s="271"/>
      <c r="H96" s="271"/>
      <c r="I96" s="271"/>
      <c r="J96" s="271"/>
      <c r="K96" s="271"/>
      <c r="L96" s="271"/>
      <c r="M96" s="271"/>
      <c r="N96" s="271"/>
      <c r="O96" s="271"/>
      <c r="P96" s="271"/>
      <c r="Q96" s="272"/>
      <c r="R96" s="155"/>
      <c r="S96" s="155"/>
      <c r="T96" s="155"/>
      <c r="U96" s="155"/>
      <c r="V96" s="155"/>
      <c r="W96" s="155"/>
      <c r="X96" s="155"/>
      <c r="Y96" s="155"/>
      <c r="Z96" s="155"/>
      <c r="AA96" s="155"/>
      <c r="AB96" s="155"/>
      <c r="AC96" s="155"/>
      <c r="AD96" s="155"/>
      <c r="AE96" s="155"/>
      <c r="AF96" s="155"/>
      <c r="AG96" s="155"/>
      <c r="AH96" s="155"/>
      <c r="AI96" s="155"/>
    </row>
    <row r="97" spans="1:35" s="39" customFormat="1" x14ac:dyDescent="0.25">
      <c r="A97" s="278" t="s">
        <v>302</v>
      </c>
      <c r="B97" s="271"/>
      <c r="C97" s="271"/>
      <c r="D97" s="271"/>
      <c r="E97" s="271"/>
      <c r="F97" s="271"/>
      <c r="G97" s="271"/>
      <c r="H97" s="271"/>
      <c r="I97" s="271"/>
      <c r="J97" s="271"/>
      <c r="K97" s="271"/>
      <c r="L97" s="271"/>
      <c r="M97" s="271"/>
      <c r="N97" s="271"/>
      <c r="O97" s="271"/>
      <c r="P97" s="271"/>
      <c r="Q97" s="272"/>
      <c r="R97" s="155"/>
      <c r="S97" s="155"/>
      <c r="T97" s="155"/>
      <c r="U97" s="155"/>
      <c r="V97" s="155"/>
      <c r="W97" s="155"/>
      <c r="X97" s="155"/>
      <c r="Y97" s="155"/>
      <c r="Z97" s="155"/>
      <c r="AA97" s="155"/>
      <c r="AB97" s="155"/>
      <c r="AC97" s="155"/>
      <c r="AD97" s="155"/>
      <c r="AE97" s="155"/>
      <c r="AF97" s="155"/>
      <c r="AG97" s="155"/>
      <c r="AH97" s="155"/>
      <c r="AI97" s="155"/>
    </row>
    <row r="98" spans="1:35" s="39" customFormat="1" x14ac:dyDescent="0.25">
      <c r="A98" s="274" t="s">
        <v>301</v>
      </c>
      <c r="B98" s="271"/>
      <c r="C98" s="271"/>
      <c r="D98" s="271"/>
      <c r="E98" s="271"/>
      <c r="F98" s="271"/>
      <c r="G98" s="271"/>
      <c r="H98" s="271"/>
      <c r="I98" s="271"/>
      <c r="J98" s="271"/>
      <c r="K98" s="271"/>
      <c r="L98" s="271"/>
      <c r="M98" s="271"/>
      <c r="N98" s="271"/>
      <c r="O98" s="271"/>
      <c r="P98" s="271"/>
      <c r="Q98" s="272"/>
      <c r="R98" s="155"/>
      <c r="S98" s="155"/>
      <c r="T98" s="155"/>
      <c r="U98" s="155"/>
      <c r="V98" s="155"/>
      <c r="W98" s="155"/>
      <c r="X98" s="155"/>
      <c r="Y98" s="155"/>
      <c r="Z98" s="155"/>
      <c r="AA98" s="155"/>
      <c r="AB98" s="155"/>
      <c r="AC98" s="155"/>
      <c r="AD98" s="155"/>
      <c r="AE98" s="155"/>
      <c r="AF98" s="155"/>
      <c r="AG98" s="155"/>
      <c r="AH98" s="155"/>
      <c r="AI98" s="155"/>
    </row>
    <row r="99" spans="1:35" s="39" customFormat="1" x14ac:dyDescent="0.25">
      <c r="A99" s="274" t="s">
        <v>295</v>
      </c>
      <c r="B99" s="271"/>
      <c r="C99" s="271"/>
      <c r="D99" s="271"/>
      <c r="E99" s="271"/>
      <c r="F99" s="271"/>
      <c r="G99" s="271"/>
      <c r="H99" s="271"/>
      <c r="I99" s="271"/>
      <c r="J99" s="271"/>
      <c r="K99" s="271"/>
      <c r="L99" s="271"/>
      <c r="M99" s="271"/>
      <c r="N99" s="271"/>
      <c r="O99" s="271"/>
      <c r="P99" s="271"/>
      <c r="Q99" s="272"/>
      <c r="R99" s="155"/>
      <c r="S99" s="155"/>
      <c r="T99" s="155"/>
      <c r="U99" s="155"/>
      <c r="V99" s="155"/>
      <c r="W99" s="155"/>
      <c r="X99" s="155"/>
      <c r="Y99" s="155"/>
      <c r="Z99" s="155"/>
      <c r="AA99" s="155"/>
      <c r="AB99" s="155"/>
      <c r="AC99" s="155"/>
      <c r="AD99" s="155"/>
      <c r="AE99" s="155"/>
      <c r="AF99" s="155"/>
      <c r="AG99" s="155"/>
      <c r="AH99" s="155"/>
      <c r="AI99" s="155"/>
    </row>
    <row r="100" spans="1:35" s="39" customFormat="1" x14ac:dyDescent="0.25">
      <c r="A100" s="278"/>
      <c r="B100" s="271"/>
      <c r="C100" s="271"/>
      <c r="D100" s="271"/>
      <c r="E100" s="271"/>
      <c r="F100" s="271"/>
      <c r="G100" s="271"/>
      <c r="H100" s="271"/>
      <c r="I100" s="271"/>
      <c r="J100" s="271"/>
      <c r="K100" s="271"/>
      <c r="L100" s="271"/>
      <c r="M100" s="271"/>
      <c r="N100" s="271"/>
      <c r="O100" s="271"/>
      <c r="P100" s="271"/>
      <c r="Q100" s="272"/>
      <c r="R100" s="155"/>
      <c r="S100" s="155"/>
      <c r="T100" s="155"/>
      <c r="U100" s="155"/>
      <c r="V100" s="155"/>
      <c r="W100" s="155"/>
      <c r="X100" s="155"/>
      <c r="Y100" s="155"/>
      <c r="Z100" s="155"/>
      <c r="AA100" s="155"/>
      <c r="AB100" s="155"/>
      <c r="AC100" s="155"/>
      <c r="AD100" s="155"/>
      <c r="AE100" s="155"/>
      <c r="AF100" s="155"/>
      <c r="AG100" s="155"/>
      <c r="AH100" s="155"/>
      <c r="AI100" s="155"/>
    </row>
    <row r="101" spans="1:35" s="39" customFormat="1" x14ac:dyDescent="0.25">
      <c r="A101" s="270" t="s">
        <v>285</v>
      </c>
      <c r="B101" s="271"/>
      <c r="C101" s="271"/>
      <c r="D101" s="271"/>
      <c r="E101" s="271"/>
      <c r="F101" s="271"/>
      <c r="G101" s="271"/>
      <c r="H101" s="271"/>
      <c r="I101" s="271"/>
      <c r="J101" s="271"/>
      <c r="K101" s="271"/>
      <c r="L101" s="271"/>
      <c r="M101" s="271"/>
      <c r="N101" s="271"/>
      <c r="O101" s="271"/>
      <c r="P101" s="271"/>
      <c r="Q101" s="272"/>
      <c r="R101" s="155"/>
      <c r="S101" s="155"/>
      <c r="T101" s="155"/>
      <c r="U101" s="155"/>
      <c r="V101" s="155"/>
      <c r="W101" s="155"/>
      <c r="X101" s="155"/>
      <c r="Y101" s="155"/>
      <c r="Z101" s="155"/>
      <c r="AA101" s="155"/>
      <c r="AB101" s="155"/>
      <c r="AC101" s="155"/>
      <c r="AD101" s="155"/>
      <c r="AE101" s="155"/>
      <c r="AF101" s="155"/>
      <c r="AG101" s="155"/>
      <c r="AH101" s="155"/>
      <c r="AI101" s="155"/>
    </row>
    <row r="102" spans="1:35" s="39" customFormat="1" x14ac:dyDescent="0.25">
      <c r="A102" s="273" t="s">
        <v>291</v>
      </c>
      <c r="B102" s="271"/>
      <c r="C102" s="271"/>
      <c r="D102" s="271"/>
      <c r="E102" s="271"/>
      <c r="F102" s="271"/>
      <c r="G102" s="271"/>
      <c r="H102" s="271"/>
      <c r="I102" s="271"/>
      <c r="J102" s="271"/>
      <c r="K102" s="271"/>
      <c r="L102" s="271"/>
      <c r="M102" s="271"/>
      <c r="N102" s="271"/>
      <c r="O102" s="271"/>
      <c r="P102" s="271"/>
      <c r="Q102" s="272"/>
      <c r="R102" s="155"/>
      <c r="S102" s="155"/>
      <c r="T102" s="155"/>
      <c r="U102" s="155"/>
      <c r="V102" s="155"/>
      <c r="W102" s="155"/>
      <c r="X102" s="155"/>
      <c r="Y102" s="155"/>
      <c r="Z102" s="155"/>
      <c r="AA102" s="155"/>
      <c r="AB102" s="155"/>
      <c r="AC102" s="155"/>
      <c r="AD102" s="155"/>
      <c r="AE102" s="155"/>
      <c r="AF102" s="155"/>
      <c r="AG102" s="155"/>
      <c r="AH102" s="155"/>
      <c r="AI102" s="155"/>
    </row>
    <row r="103" spans="1:35" s="39" customFormat="1" x14ac:dyDescent="0.25">
      <c r="A103" s="278"/>
      <c r="B103" s="271"/>
      <c r="C103" s="271"/>
      <c r="D103" s="271"/>
      <c r="E103" s="271"/>
      <c r="F103" s="271"/>
      <c r="G103" s="271"/>
      <c r="H103" s="271"/>
      <c r="I103" s="271"/>
      <c r="J103" s="271"/>
      <c r="K103" s="271"/>
      <c r="L103" s="271"/>
      <c r="M103" s="271"/>
      <c r="N103" s="271"/>
      <c r="O103" s="271"/>
      <c r="P103" s="271"/>
      <c r="Q103" s="272"/>
      <c r="R103" s="155"/>
      <c r="S103" s="155"/>
      <c r="T103" s="155"/>
      <c r="U103" s="155"/>
      <c r="V103" s="155"/>
      <c r="W103" s="155"/>
      <c r="X103" s="155"/>
      <c r="Y103" s="155"/>
      <c r="Z103" s="155"/>
      <c r="AA103" s="155"/>
      <c r="AB103" s="155"/>
      <c r="AC103" s="155"/>
      <c r="AD103" s="155"/>
      <c r="AE103" s="155"/>
      <c r="AF103" s="155"/>
      <c r="AG103" s="155"/>
      <c r="AH103" s="155"/>
      <c r="AI103" s="155"/>
    </row>
    <row r="104" spans="1:35" s="39" customFormat="1" x14ac:dyDescent="0.25">
      <c r="A104" s="270" t="s">
        <v>286</v>
      </c>
      <c r="B104" s="271"/>
      <c r="C104" s="271"/>
      <c r="D104" s="271"/>
      <c r="E104" s="271"/>
      <c r="F104" s="271"/>
      <c r="G104" s="271"/>
      <c r="H104" s="271"/>
      <c r="I104" s="271"/>
      <c r="J104" s="271"/>
      <c r="K104" s="271"/>
      <c r="L104" s="271"/>
      <c r="M104" s="271"/>
      <c r="N104" s="271"/>
      <c r="O104" s="271"/>
      <c r="P104" s="271"/>
      <c r="Q104" s="272"/>
      <c r="R104" s="155"/>
      <c r="S104" s="155"/>
      <c r="T104" s="155"/>
      <c r="U104" s="155"/>
      <c r="V104" s="155"/>
      <c r="W104" s="155"/>
      <c r="X104" s="155"/>
      <c r="Y104" s="155"/>
      <c r="Z104" s="155"/>
      <c r="AA104" s="155"/>
      <c r="AB104" s="155"/>
      <c r="AC104" s="155"/>
      <c r="AD104" s="155"/>
      <c r="AE104" s="155"/>
      <c r="AF104" s="155"/>
      <c r="AG104" s="155"/>
      <c r="AH104" s="155"/>
      <c r="AI104" s="155"/>
    </row>
    <row r="105" spans="1:35" s="39" customFormat="1" x14ac:dyDescent="0.25">
      <c r="A105" s="274" t="s">
        <v>287</v>
      </c>
      <c r="B105" s="271"/>
      <c r="C105" s="271"/>
      <c r="D105" s="271"/>
      <c r="E105" s="271"/>
      <c r="F105" s="271"/>
      <c r="G105" s="271"/>
      <c r="H105" s="271"/>
      <c r="I105" s="271"/>
      <c r="J105" s="271"/>
      <c r="K105" s="271"/>
      <c r="L105" s="271"/>
      <c r="M105" s="271"/>
      <c r="N105" s="271"/>
      <c r="O105" s="271"/>
      <c r="P105" s="271"/>
      <c r="Q105" s="272"/>
      <c r="R105" s="155"/>
      <c r="S105" s="155"/>
      <c r="T105" s="155"/>
      <c r="U105" s="155"/>
      <c r="V105" s="155"/>
      <c r="W105" s="155"/>
      <c r="X105" s="155"/>
      <c r="Y105" s="155"/>
      <c r="Z105" s="155"/>
      <c r="AA105" s="155"/>
      <c r="AB105" s="155"/>
      <c r="AC105" s="155"/>
      <c r="AD105" s="155"/>
      <c r="AE105" s="155"/>
      <c r="AF105" s="155"/>
      <c r="AG105" s="155"/>
      <c r="AH105" s="155"/>
      <c r="AI105" s="155"/>
    </row>
    <row r="106" spans="1:35" s="39" customFormat="1" x14ac:dyDescent="0.25">
      <c r="A106" s="274"/>
      <c r="B106" s="271"/>
      <c r="C106" s="271"/>
      <c r="D106" s="271"/>
      <c r="E106" s="271"/>
      <c r="F106" s="271"/>
      <c r="G106" s="271"/>
      <c r="H106" s="271"/>
      <c r="I106" s="271"/>
      <c r="J106" s="271"/>
      <c r="K106" s="271"/>
      <c r="L106" s="271"/>
      <c r="M106" s="271"/>
      <c r="N106" s="271"/>
      <c r="O106" s="271"/>
      <c r="P106" s="271"/>
      <c r="Q106" s="272"/>
      <c r="R106" s="155"/>
      <c r="S106" s="155"/>
      <c r="T106" s="155"/>
      <c r="U106" s="155"/>
      <c r="V106" s="155"/>
      <c r="W106" s="155"/>
      <c r="X106" s="155"/>
      <c r="Y106" s="155"/>
      <c r="Z106" s="155"/>
      <c r="AA106" s="155"/>
      <c r="AB106" s="155"/>
      <c r="AC106" s="155"/>
      <c r="AD106" s="155"/>
      <c r="AE106" s="155"/>
      <c r="AF106" s="155"/>
      <c r="AG106" s="155"/>
      <c r="AH106" s="155"/>
      <c r="AI106" s="155"/>
    </row>
    <row r="107" spans="1:35" s="39" customFormat="1" x14ac:dyDescent="0.25">
      <c r="A107" s="270" t="s">
        <v>289</v>
      </c>
      <c r="B107" s="271"/>
      <c r="C107" s="271"/>
      <c r="D107" s="271"/>
      <c r="E107" s="271"/>
      <c r="F107" s="271"/>
      <c r="G107" s="271"/>
      <c r="H107" s="271"/>
      <c r="I107" s="271"/>
      <c r="J107" s="271"/>
      <c r="K107" s="271"/>
      <c r="L107" s="271"/>
      <c r="M107" s="271"/>
      <c r="N107" s="271"/>
      <c r="O107" s="271"/>
      <c r="P107" s="271"/>
      <c r="Q107" s="272"/>
      <c r="R107" s="155"/>
      <c r="S107" s="155"/>
      <c r="T107" s="155"/>
      <c r="U107" s="155"/>
      <c r="V107" s="155"/>
      <c r="W107" s="155"/>
      <c r="X107" s="155"/>
      <c r="Y107" s="155"/>
      <c r="Z107" s="155"/>
      <c r="AA107" s="155"/>
      <c r="AB107" s="155"/>
      <c r="AC107" s="155"/>
      <c r="AD107" s="155"/>
      <c r="AE107" s="155"/>
      <c r="AF107" s="155"/>
      <c r="AG107" s="155"/>
      <c r="AH107" s="155"/>
      <c r="AI107" s="155"/>
    </row>
    <row r="108" spans="1:35" s="39" customFormat="1" x14ac:dyDescent="0.25">
      <c r="A108" s="274" t="s">
        <v>290</v>
      </c>
      <c r="B108" s="271"/>
      <c r="C108" s="271"/>
      <c r="D108" s="271"/>
      <c r="E108" s="271"/>
      <c r="F108" s="271"/>
      <c r="G108" s="271"/>
      <c r="H108" s="271"/>
      <c r="I108" s="271"/>
      <c r="J108" s="271"/>
      <c r="K108" s="271"/>
      <c r="L108" s="271"/>
      <c r="M108" s="271"/>
      <c r="N108" s="271"/>
      <c r="O108" s="271"/>
      <c r="P108" s="271"/>
      <c r="Q108" s="272"/>
      <c r="R108" s="155"/>
      <c r="S108" s="155"/>
      <c r="T108" s="155"/>
      <c r="U108" s="155"/>
      <c r="V108" s="155"/>
      <c r="W108" s="155"/>
      <c r="X108" s="155"/>
      <c r="Y108" s="155"/>
      <c r="Z108" s="155"/>
      <c r="AA108" s="155"/>
      <c r="AB108" s="155"/>
      <c r="AC108" s="155"/>
      <c r="AD108" s="155"/>
      <c r="AE108" s="155"/>
      <c r="AF108" s="155"/>
      <c r="AG108" s="155"/>
      <c r="AH108" s="155"/>
      <c r="AI108" s="155"/>
    </row>
    <row r="109" spans="1:35" ht="15.75" thickBot="1" x14ac:dyDescent="0.3">
      <c r="A109" s="275"/>
      <c r="B109" s="275"/>
      <c r="C109" s="275"/>
      <c r="D109" s="275"/>
      <c r="E109" s="275"/>
      <c r="F109" s="275"/>
      <c r="G109" s="275"/>
      <c r="H109" s="275"/>
      <c r="I109" s="275"/>
      <c r="J109" s="275"/>
      <c r="K109" s="275"/>
      <c r="L109" s="275"/>
      <c r="M109" s="275"/>
      <c r="N109" s="275"/>
      <c r="O109" s="275"/>
      <c r="P109" s="275"/>
      <c r="Q109" s="276"/>
      <c r="R109" s="155"/>
      <c r="S109" s="155"/>
      <c r="T109" s="155"/>
      <c r="U109" s="155"/>
      <c r="V109" s="155"/>
      <c r="W109" s="155"/>
      <c r="X109" s="155"/>
      <c r="Y109" s="155"/>
      <c r="Z109" s="155"/>
      <c r="AA109" s="155"/>
      <c r="AB109" s="155"/>
      <c r="AC109" s="155"/>
      <c r="AD109" s="155"/>
      <c r="AE109" s="155"/>
      <c r="AF109" s="155"/>
      <c r="AG109" s="155"/>
      <c r="AH109" s="155"/>
      <c r="AI109" s="155"/>
    </row>
    <row r="110" spans="1:35" ht="102.75" customHeight="1" x14ac:dyDescent="0.25">
      <c r="A110" s="301" t="s">
        <v>305</v>
      </c>
      <c r="B110" s="302"/>
      <c r="C110" s="302"/>
      <c r="D110" s="302"/>
      <c r="E110" s="302"/>
      <c r="F110" s="302"/>
      <c r="G110" s="302"/>
      <c r="H110" s="302"/>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row>
    <row r="111" spans="1:35" x14ac:dyDescent="0.25">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row>
    <row r="112" spans="1:35" x14ac:dyDescent="0.25">
      <c r="A112" s="155"/>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row>
    <row r="113" spans="1:35" x14ac:dyDescent="0.25">
      <c r="A113" s="155"/>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row>
    <row r="114" spans="1:35" x14ac:dyDescent="0.25">
      <c r="A114" s="155"/>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row>
    <row r="115" spans="1:35" x14ac:dyDescent="0.25">
      <c r="A115" s="155"/>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row>
  </sheetData>
  <sheetProtection sheet="1" objects="1" scenarios="1"/>
  <mergeCells count="1">
    <mergeCell ref="A110:H110"/>
  </mergeCells>
  <pageMargins left="0.7" right="0.7" top="0.75" bottom="0.75" header="0.3" footer="0.3"/>
  <pageSetup paperSize="9" scale="56" fitToHeight="0" orientation="portrait" r:id="rId1"/>
  <rowBreaks count="1" manualBreakCount="1">
    <brk id="5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3">
    <pageSetUpPr fitToPage="1"/>
  </sheetPr>
  <dimension ref="A1:BP222"/>
  <sheetViews>
    <sheetView zoomScale="80" zoomScaleNormal="80" workbookViewId="0">
      <selection activeCell="H37" sqref="H37"/>
    </sheetView>
  </sheetViews>
  <sheetFormatPr defaultRowHeight="15" x14ac:dyDescent="0.25"/>
  <cols>
    <col min="1" max="1" width="66.42578125" style="108" customWidth="1"/>
    <col min="2" max="2" width="44.140625" style="108" customWidth="1"/>
    <col min="3" max="3" width="43.140625" style="108" customWidth="1"/>
    <col min="4" max="4" width="3.28515625" style="108" customWidth="1"/>
    <col min="5" max="5" width="5" style="108" bestFit="1" customWidth="1"/>
    <col min="6" max="6" width="31.7109375" customWidth="1"/>
    <col min="7" max="7" width="2.5703125" customWidth="1"/>
    <col min="8" max="8" width="27.5703125" customWidth="1"/>
    <col min="9" max="9" width="2.28515625" customWidth="1"/>
    <col min="10" max="10" width="32.42578125" customWidth="1"/>
    <col min="11" max="11" width="1.85546875" customWidth="1"/>
    <col min="12" max="12" width="17.7109375" bestFit="1" customWidth="1"/>
    <col min="13" max="13" width="5.85546875" customWidth="1"/>
    <col min="14" max="14" width="6.140625" customWidth="1"/>
    <col min="15" max="15" width="6.5703125" customWidth="1"/>
  </cols>
  <sheetData>
    <row r="1" spans="1:68" s="39" customFormat="1" x14ac:dyDescent="0.25">
      <c r="A1" s="149"/>
      <c r="B1" s="149"/>
      <c r="C1" s="149"/>
      <c r="D1" s="149"/>
      <c r="E1" s="149"/>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row>
    <row r="2" spans="1:68" s="39" customFormat="1" x14ac:dyDescent="0.25">
      <c r="A2" s="149"/>
      <c r="B2" s="149"/>
      <c r="C2" s="149"/>
      <c r="D2" s="149"/>
      <c r="E2" s="149"/>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row>
    <row r="3" spans="1:68" s="39" customFormat="1" ht="45.75" customHeight="1" thickBot="1" x14ac:dyDescent="0.3">
      <c r="A3" s="149"/>
      <c r="B3" s="149"/>
      <c r="C3" s="304" t="s">
        <v>306</v>
      </c>
      <c r="D3" s="149"/>
      <c r="E3" s="149"/>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row>
    <row r="4" spans="1:68" s="39" customFormat="1" ht="21.95" customHeight="1" thickBot="1" x14ac:dyDescent="0.35">
      <c r="A4" s="257" t="s">
        <v>282</v>
      </c>
      <c r="B4" s="149"/>
      <c r="C4" s="149"/>
      <c r="D4" s="149"/>
      <c r="E4" s="149"/>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row>
    <row r="5" spans="1:68" s="39" customFormat="1" ht="16.5" thickBot="1" x14ac:dyDescent="0.3">
      <c r="A5" s="262" t="s">
        <v>150</v>
      </c>
      <c r="B5" s="264" t="s">
        <v>270</v>
      </c>
      <c r="D5" s="156"/>
      <c r="E5" s="156"/>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row>
    <row r="6" spans="1:68" s="39" customFormat="1" ht="16.5" thickBot="1" x14ac:dyDescent="0.3">
      <c r="A6" s="260" t="s">
        <v>139</v>
      </c>
      <c r="B6" s="232" t="s">
        <v>148</v>
      </c>
      <c r="C6" s="172"/>
      <c r="D6" s="156"/>
      <c r="E6" s="156"/>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row>
    <row r="7" spans="1:68" s="39" customFormat="1" ht="16.5" thickBot="1" x14ac:dyDescent="0.3">
      <c r="A7" s="256"/>
      <c r="B7" s="23"/>
      <c r="C7" s="155"/>
      <c r="D7" s="156"/>
      <c r="E7" s="156"/>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row>
    <row r="8" spans="1:68" s="39" customFormat="1" ht="16.5" thickBot="1" x14ac:dyDescent="0.3">
      <c r="A8" s="260" t="s">
        <v>54</v>
      </c>
      <c r="B8" s="230" t="s">
        <v>55</v>
      </c>
      <c r="C8" s="155"/>
      <c r="D8" s="156"/>
      <c r="E8" s="156"/>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row>
    <row r="9" spans="1:68" s="39" customFormat="1" ht="16.5" thickBot="1" x14ac:dyDescent="0.3">
      <c r="A9" s="261" t="s">
        <v>93</v>
      </c>
      <c r="B9" s="230" t="s">
        <v>229</v>
      </c>
      <c r="C9" s="155"/>
      <c r="D9" s="156"/>
      <c r="E9" s="156"/>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row>
    <row r="10" spans="1:68" s="39" customFormat="1" ht="16.5" thickBot="1" x14ac:dyDescent="0.3">
      <c r="A10" s="258" t="s">
        <v>104</v>
      </c>
      <c r="B10" s="230" t="s">
        <v>231</v>
      </c>
      <c r="C10" s="155"/>
      <c r="D10" s="156"/>
      <c r="E10" s="156"/>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row>
    <row r="11" spans="1:68" s="39" customFormat="1" ht="16.5" thickBot="1" x14ac:dyDescent="0.3">
      <c r="A11" s="11"/>
      <c r="B11" s="220"/>
      <c r="C11" s="172"/>
      <c r="D11" s="156"/>
      <c r="E11" s="156"/>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row>
    <row r="12" spans="1:68" s="39" customFormat="1" ht="16.5" thickBot="1" x14ac:dyDescent="0.3">
      <c r="A12" s="263" t="s">
        <v>259</v>
      </c>
      <c r="B12" s="220"/>
      <c r="C12" s="172"/>
      <c r="D12" s="156"/>
      <c r="E12" s="156"/>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row>
    <row r="13" spans="1:68" s="39" customFormat="1" ht="16.5" thickBot="1" x14ac:dyDescent="0.3">
      <c r="A13" s="259" t="s">
        <v>91</v>
      </c>
      <c r="B13" s="230">
        <v>250000</v>
      </c>
      <c r="C13" s="172"/>
      <c r="D13" s="156"/>
      <c r="E13" s="156"/>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row>
    <row r="14" spans="1:68" s="39" customFormat="1" ht="16.5" thickBot="1" x14ac:dyDescent="0.3">
      <c r="A14" s="259" t="s">
        <v>260</v>
      </c>
      <c r="B14" s="230">
        <v>500000</v>
      </c>
      <c r="C14" s="172"/>
      <c r="D14" s="156"/>
      <c r="E14" s="156"/>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row>
    <row r="15" spans="1:68" s="39" customFormat="1" ht="16.5" thickBot="1" x14ac:dyDescent="0.3">
      <c r="A15" s="259" t="s">
        <v>261</v>
      </c>
      <c r="B15" s="231"/>
      <c r="C15" s="172"/>
      <c r="D15" s="156"/>
      <c r="E15" s="156"/>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row>
    <row r="16" spans="1:68" s="39" customFormat="1" ht="15.75" thickBot="1" x14ac:dyDescent="0.3">
      <c r="A16" s="296" t="s">
        <v>304</v>
      </c>
      <c r="B16" s="297">
        <f>((B13*B30)+(B14*B42)+(B15*B54))</f>
        <v>130000</v>
      </c>
      <c r="C16" s="149"/>
      <c r="D16" s="149"/>
      <c r="E16" s="149"/>
      <c r="F16" s="155"/>
      <c r="G16" s="155"/>
      <c r="H16" s="155"/>
      <c r="I16" s="155"/>
      <c r="J16" s="157"/>
      <c r="K16" s="155"/>
      <c r="L16" s="157"/>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row>
    <row r="17" spans="1:68" ht="21.95" customHeight="1" thickBot="1" x14ac:dyDescent="0.4">
      <c r="A17" s="109" t="s">
        <v>67</v>
      </c>
      <c r="B17" s="214"/>
      <c r="C17" s="215"/>
      <c r="D17" s="149"/>
      <c r="E17" s="149"/>
      <c r="F17" s="157"/>
      <c r="G17" s="155"/>
      <c r="H17" s="157"/>
      <c r="I17" s="155"/>
      <c r="J17" s="157"/>
      <c r="K17" s="158"/>
      <c r="L17" s="157"/>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row>
    <row r="18" spans="1:68" s="39" customFormat="1" ht="15.6" customHeight="1" thickBot="1" x14ac:dyDescent="0.4">
      <c r="A18" s="110"/>
      <c r="B18" s="177"/>
      <c r="C18" s="189"/>
      <c r="D18" s="149"/>
      <c r="E18" s="149"/>
      <c r="F18" s="157"/>
      <c r="G18" s="155"/>
      <c r="H18" s="157"/>
      <c r="I18" s="155"/>
      <c r="J18" s="157"/>
      <c r="K18" s="158"/>
      <c r="L18" s="157"/>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row>
    <row r="19" spans="1:68" ht="17.100000000000001" customHeight="1" thickBot="1" x14ac:dyDescent="0.35">
      <c r="A19" s="111" t="s">
        <v>140</v>
      </c>
      <c r="B19" s="60" t="s">
        <v>99</v>
      </c>
      <c r="C19" s="60" t="s">
        <v>81</v>
      </c>
      <c r="D19" s="159"/>
      <c r="E19" s="159"/>
      <c r="F19" s="157"/>
      <c r="G19" s="158"/>
      <c r="H19" s="157"/>
      <c r="I19" s="155"/>
      <c r="J19" s="157"/>
      <c r="K19" s="155"/>
      <c r="L19" s="157"/>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row>
    <row r="20" spans="1:68" s="39" customFormat="1" ht="17.100000000000001" customHeight="1" thickBot="1" x14ac:dyDescent="0.35">
      <c r="A20" s="190"/>
      <c r="B20" s="247"/>
      <c r="C20" s="248"/>
      <c r="D20" s="159"/>
      <c r="E20" s="159"/>
      <c r="F20" s="157"/>
      <c r="G20" s="158"/>
      <c r="H20" s="157"/>
      <c r="I20" s="155"/>
      <c r="J20" s="157"/>
      <c r="K20" s="155"/>
      <c r="L20" s="157"/>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row>
    <row r="21" spans="1:68" s="39" customFormat="1" ht="17.100000000000001" customHeight="1" thickBot="1" x14ac:dyDescent="0.3">
      <c r="A21" s="126" t="s">
        <v>233</v>
      </c>
      <c r="B21" s="44">
        <v>20</v>
      </c>
      <c r="C21" s="44">
        <v>20</v>
      </c>
      <c r="D21" s="159"/>
      <c r="E21" s="159"/>
      <c r="F21" s="157"/>
      <c r="G21" s="158"/>
      <c r="H21" s="157"/>
      <c r="I21" s="155"/>
      <c r="J21" s="157"/>
      <c r="K21" s="155"/>
      <c r="L21" s="157"/>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row>
    <row r="22" spans="1:68" s="39" customFormat="1" ht="17.100000000000001" customHeight="1" thickBot="1" x14ac:dyDescent="0.35">
      <c r="A22" s="190"/>
      <c r="B22" s="247"/>
      <c r="C22" s="248"/>
      <c r="D22" s="159"/>
      <c r="E22" s="159"/>
      <c r="F22" s="157"/>
      <c r="G22" s="158"/>
      <c r="H22" s="157"/>
      <c r="I22" s="155"/>
      <c r="J22" s="157"/>
      <c r="K22" s="155"/>
      <c r="L22" s="157"/>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row>
    <row r="23" spans="1:68" s="39" customFormat="1" ht="17.100000000000001" customHeight="1" thickBot="1" x14ac:dyDescent="0.35">
      <c r="A23" s="154" t="s">
        <v>262</v>
      </c>
      <c r="B23" s="243" t="str">
        <f>B19</f>
        <v xml:space="preserve">Ventilation system with heat recovery </v>
      </c>
      <c r="C23" s="243" t="str">
        <f>C19</f>
        <v>Geothermal heat pump system</v>
      </c>
      <c r="D23" s="159"/>
      <c r="E23" s="159"/>
      <c r="F23" s="157"/>
      <c r="G23" s="158"/>
      <c r="H23" s="157"/>
      <c r="I23" s="155"/>
      <c r="J23" s="157"/>
      <c r="K23" s="155"/>
      <c r="L23" s="157"/>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row>
    <row r="24" spans="1:68" s="39" customFormat="1" ht="17.100000000000001" customHeight="1" thickBot="1" x14ac:dyDescent="0.3">
      <c r="A24" s="176"/>
      <c r="B24" s="146"/>
      <c r="C24" s="175"/>
      <c r="D24" s="159"/>
      <c r="E24" s="159"/>
      <c r="F24" s="157"/>
      <c r="G24" s="158"/>
      <c r="H24" s="157"/>
      <c r="I24" s="155"/>
      <c r="J24" s="157"/>
      <c r="K24" s="155"/>
      <c r="L24" s="157"/>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row>
    <row r="25" spans="1:68" s="39" customFormat="1" ht="17.100000000000001" customHeight="1" thickBot="1" x14ac:dyDescent="0.3">
      <c r="A25" s="112" t="s">
        <v>142</v>
      </c>
      <c r="B25" s="249" t="str">
        <f>B19</f>
        <v xml:space="preserve">Ventilation system with heat recovery </v>
      </c>
      <c r="C25" s="249" t="str">
        <f>C19</f>
        <v>Geothermal heat pump system</v>
      </c>
      <c r="D25" s="159"/>
      <c r="E25" s="159"/>
      <c r="F25" s="157"/>
      <c r="G25" s="158"/>
      <c r="H25" s="157"/>
      <c r="I25" s="155"/>
      <c r="J25" s="157"/>
      <c r="K25" s="155"/>
      <c r="L25" s="157"/>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row>
    <row r="26" spans="1:68" ht="15.75" thickBot="1" x14ac:dyDescent="0.3">
      <c r="A26" s="113" t="s">
        <v>68</v>
      </c>
      <c r="B26" s="50">
        <v>0.12</v>
      </c>
      <c r="C26" s="54">
        <v>0.12</v>
      </c>
      <c r="D26" s="149"/>
      <c r="E26" s="149"/>
      <c r="F26" s="155"/>
      <c r="G26" s="158"/>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row>
    <row r="27" spans="1:68" ht="15.75" thickBot="1" x14ac:dyDescent="0.3">
      <c r="A27" s="174"/>
      <c r="B27" s="146"/>
      <c r="C27" s="175"/>
      <c r="D27" s="149"/>
      <c r="E27" s="149"/>
      <c r="F27" s="153"/>
      <c r="G27" s="153"/>
      <c r="H27" s="153"/>
      <c r="I27" s="153"/>
      <c r="J27" s="153"/>
      <c r="K27" s="153"/>
      <c r="L27" s="153"/>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row>
    <row r="28" spans="1:68" ht="15.75" thickBot="1" x14ac:dyDescent="0.3">
      <c r="A28" s="113" t="s">
        <v>257</v>
      </c>
      <c r="B28" s="56">
        <v>2000</v>
      </c>
      <c r="C28" s="55">
        <v>170000</v>
      </c>
      <c r="D28" s="149"/>
      <c r="E28" s="149"/>
      <c r="F28" s="153"/>
      <c r="G28" s="160"/>
      <c r="H28" s="153"/>
      <c r="I28" s="153"/>
      <c r="J28" s="153"/>
      <c r="K28" s="153"/>
      <c r="L28" s="153"/>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row>
    <row r="29" spans="1:68" ht="15.75" thickBot="1" x14ac:dyDescent="0.3">
      <c r="A29" s="174"/>
      <c r="B29" s="146"/>
      <c r="C29" s="175"/>
      <c r="D29" s="149"/>
      <c r="E29" s="149"/>
      <c r="F29" s="153"/>
      <c r="G29" s="153"/>
      <c r="H29" s="153"/>
      <c r="I29" s="153"/>
      <c r="J29" s="153"/>
      <c r="K29" s="153"/>
      <c r="L29" s="153"/>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row>
    <row r="30" spans="1:68" ht="15.75" thickBot="1" x14ac:dyDescent="0.3">
      <c r="A30" s="113" t="s">
        <v>194</v>
      </c>
      <c r="B30" s="44">
        <v>0.2</v>
      </c>
      <c r="C30" s="44">
        <v>0.2</v>
      </c>
      <c r="D30" s="149"/>
      <c r="E30" s="149"/>
      <c r="F30" s="153"/>
      <c r="G30" s="153"/>
      <c r="H30" s="153"/>
      <c r="I30" s="153"/>
      <c r="J30" s="153"/>
      <c r="K30" s="153"/>
      <c r="L30" s="153"/>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row>
    <row r="31" spans="1:68" ht="15.75" thickBot="1" x14ac:dyDescent="0.3">
      <c r="A31" s="114"/>
      <c r="B31" s="146"/>
      <c r="C31" s="175"/>
      <c r="D31" s="161"/>
      <c r="E31" s="149"/>
      <c r="F31" s="153"/>
      <c r="G31" s="153"/>
      <c r="H31" s="153"/>
      <c r="I31" s="153"/>
      <c r="J31" s="153"/>
      <c r="K31" s="153"/>
      <c r="L31" s="153"/>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row>
    <row r="32" spans="1:68" ht="15.75" thickBot="1" x14ac:dyDescent="0.3">
      <c r="A32" s="113" t="s">
        <v>198</v>
      </c>
      <c r="B32" s="52">
        <v>0.03</v>
      </c>
      <c r="C32" s="52">
        <v>0.03</v>
      </c>
      <c r="D32" s="145"/>
      <c r="E32" s="149"/>
      <c r="F32" s="153"/>
      <c r="G32" s="153"/>
      <c r="H32" s="153"/>
      <c r="I32" s="153"/>
      <c r="J32" s="153"/>
      <c r="K32" s="153"/>
      <c r="L32" s="153"/>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row>
    <row r="33" spans="1:68" ht="15.75" thickBot="1" x14ac:dyDescent="0.3">
      <c r="A33" s="176"/>
      <c r="B33" s="250"/>
      <c r="C33" s="194"/>
      <c r="D33" s="161"/>
      <c r="E33" s="149"/>
      <c r="F33" s="153"/>
      <c r="G33" s="153"/>
      <c r="H33" s="153"/>
      <c r="I33" s="153"/>
      <c r="J33" s="153"/>
      <c r="K33" s="153"/>
      <c r="L33" s="153"/>
      <c r="M33" s="162"/>
      <c r="N33" s="162"/>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row>
    <row r="34" spans="1:68" ht="15.75" thickBot="1" x14ac:dyDescent="0.3">
      <c r="A34" s="113" t="s">
        <v>199</v>
      </c>
      <c r="B34" s="52">
        <v>0.06</v>
      </c>
      <c r="C34" s="52">
        <v>0.06</v>
      </c>
      <c r="D34" s="161"/>
      <c r="E34" s="149"/>
      <c r="F34" s="153"/>
      <c r="G34" s="153"/>
      <c r="H34" s="153"/>
      <c r="I34" s="153"/>
      <c r="J34" s="153"/>
      <c r="K34" s="153"/>
      <c r="L34" s="153"/>
      <c r="M34" s="162"/>
      <c r="N34" s="162"/>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row>
    <row r="35" spans="1:68" ht="15.75" thickBot="1" x14ac:dyDescent="0.3">
      <c r="A35" s="116"/>
      <c r="B35" s="131"/>
      <c r="C35" s="141"/>
      <c r="D35" s="161"/>
      <c r="E35" s="149"/>
      <c r="F35" s="153"/>
      <c r="G35" s="153"/>
      <c r="H35" s="153"/>
      <c r="I35" s="153"/>
      <c r="J35" s="153"/>
      <c r="K35" s="153"/>
      <c r="L35" s="153"/>
      <c r="M35" s="162"/>
      <c r="N35" s="162"/>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row>
    <row r="36" spans="1:68" ht="15.75" thickBot="1" x14ac:dyDescent="0.3">
      <c r="A36" s="174"/>
      <c r="B36" s="146"/>
      <c r="C36" s="175"/>
      <c r="D36" s="145"/>
      <c r="E36" s="149"/>
      <c r="F36" s="153"/>
      <c r="G36" s="153"/>
      <c r="H36" s="153"/>
      <c r="I36" s="153"/>
      <c r="J36" s="153"/>
      <c r="K36" s="153"/>
      <c r="L36" s="153"/>
      <c r="M36" s="155"/>
      <c r="N36" s="157"/>
      <c r="O36" s="155"/>
      <c r="P36" s="157"/>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row>
    <row r="37" spans="1:68" s="39" customFormat="1" ht="16.5" thickBot="1" x14ac:dyDescent="0.3">
      <c r="A37" s="117" t="s">
        <v>143</v>
      </c>
      <c r="B37" s="246" t="str">
        <f>B19</f>
        <v xml:space="preserve">Ventilation system with heat recovery </v>
      </c>
      <c r="C37" s="246" t="str">
        <f>C19</f>
        <v>Geothermal heat pump system</v>
      </c>
      <c r="D37" s="145"/>
      <c r="E37" s="149"/>
      <c r="F37" s="153"/>
      <c r="G37" s="153"/>
      <c r="H37" s="153"/>
      <c r="I37" s="153"/>
      <c r="J37" s="153"/>
      <c r="K37" s="153"/>
      <c r="L37" s="153"/>
      <c r="M37" s="155"/>
      <c r="N37" s="157"/>
      <c r="O37" s="155"/>
      <c r="P37" s="157"/>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row>
    <row r="38" spans="1:68" s="39" customFormat="1" ht="15.75" thickBot="1" x14ac:dyDescent="0.3">
      <c r="A38" s="118" t="s">
        <v>98</v>
      </c>
      <c r="B38" s="48">
        <v>0.09</v>
      </c>
      <c r="C38" s="54">
        <v>0.09</v>
      </c>
      <c r="D38" s="145"/>
      <c r="E38" s="149"/>
      <c r="F38" s="153"/>
      <c r="G38" s="153"/>
      <c r="H38" s="153"/>
      <c r="I38" s="153"/>
      <c r="J38" s="153"/>
      <c r="K38" s="153"/>
      <c r="L38" s="153"/>
      <c r="M38" s="155"/>
      <c r="N38" s="157"/>
      <c r="O38" s="155"/>
      <c r="P38" s="157"/>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row>
    <row r="39" spans="1:68" ht="15.75" thickBot="1" x14ac:dyDescent="0.3">
      <c r="A39" s="114"/>
      <c r="B39" s="146"/>
      <c r="C39" s="175"/>
      <c r="D39" s="161"/>
      <c r="E39" s="149"/>
      <c r="F39" s="153"/>
      <c r="G39" s="153"/>
      <c r="H39" s="153"/>
      <c r="I39" s="153"/>
      <c r="J39" s="153"/>
      <c r="K39" s="153"/>
      <c r="L39" s="153"/>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row>
    <row r="40" spans="1:68" ht="15.75" thickBot="1" x14ac:dyDescent="0.3">
      <c r="A40" s="118" t="s">
        <v>256</v>
      </c>
      <c r="B40" s="57">
        <v>-130000</v>
      </c>
      <c r="C40" s="56">
        <v>-500000</v>
      </c>
      <c r="D40" s="145"/>
      <c r="E40" s="149"/>
      <c r="F40" s="153"/>
      <c r="G40" s="153"/>
      <c r="H40" s="153"/>
      <c r="I40" s="153"/>
      <c r="J40" s="153"/>
      <c r="K40" s="153"/>
      <c r="L40" s="153"/>
      <c r="M40" s="163"/>
      <c r="N40" s="164"/>
      <c r="O40" s="155"/>
      <c r="P40" s="16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row>
    <row r="41" spans="1:68" ht="15.75" thickBot="1" x14ac:dyDescent="0.3">
      <c r="A41" s="174"/>
      <c r="B41" s="174"/>
      <c r="C41" s="175"/>
      <c r="D41" s="166"/>
      <c r="E41" s="149"/>
      <c r="F41" s="153"/>
      <c r="G41" s="153"/>
      <c r="H41" s="153"/>
      <c r="I41" s="160"/>
      <c r="J41" s="153"/>
      <c r="K41" s="153"/>
      <c r="L41" s="153"/>
      <c r="M41" s="155"/>
      <c r="N41" s="165"/>
      <c r="O41" s="155"/>
      <c r="P41" s="16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row>
    <row r="42" spans="1:68" ht="15.75" thickBot="1" x14ac:dyDescent="0.3">
      <c r="A42" s="118" t="s">
        <v>195</v>
      </c>
      <c r="B42" s="46">
        <v>0.16</v>
      </c>
      <c r="C42" s="44">
        <v>0.16</v>
      </c>
      <c r="D42" s="145"/>
      <c r="E42" s="149"/>
      <c r="F42" s="153"/>
      <c r="G42" s="153"/>
      <c r="H42" s="153"/>
      <c r="I42" s="153"/>
      <c r="J42" s="153"/>
      <c r="K42" s="153"/>
      <c r="L42" s="153"/>
      <c r="M42" s="167"/>
      <c r="N42" s="165"/>
      <c r="O42" s="155"/>
      <c r="P42" s="16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row>
    <row r="43" spans="1:68" ht="15.75" thickBot="1" x14ac:dyDescent="0.3">
      <c r="A43" s="174"/>
      <c r="B43" s="146"/>
      <c r="C43" s="175"/>
      <c r="D43" s="168"/>
      <c r="E43" s="149"/>
      <c r="F43" s="153"/>
      <c r="G43" s="153"/>
      <c r="H43" s="153"/>
      <c r="I43" s="153"/>
      <c r="J43" s="153"/>
      <c r="K43" s="153"/>
      <c r="L43" s="153"/>
      <c r="M43" s="155"/>
      <c r="N43" s="165"/>
      <c r="O43" s="155"/>
      <c r="P43" s="16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row>
    <row r="44" spans="1:68" ht="15.75" thickBot="1" x14ac:dyDescent="0.3">
      <c r="A44" s="118" t="s">
        <v>200</v>
      </c>
      <c r="B44" s="51">
        <v>0.03</v>
      </c>
      <c r="C44" s="52">
        <v>0.03</v>
      </c>
      <c r="D44" s="145"/>
      <c r="E44" s="149"/>
      <c r="F44" s="153"/>
      <c r="G44" s="153"/>
      <c r="H44" s="153"/>
      <c r="I44" s="153"/>
      <c r="J44" s="153"/>
      <c r="K44" s="153"/>
      <c r="L44" s="153"/>
      <c r="M44" s="163"/>
      <c r="N44" s="164"/>
      <c r="O44" s="155"/>
      <c r="P44" s="16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row>
    <row r="45" spans="1:68" ht="15.75" thickBot="1" x14ac:dyDescent="0.3">
      <c r="A45" s="176"/>
      <c r="B45" s="250"/>
      <c r="C45" s="194"/>
      <c r="D45" s="168"/>
      <c r="E45" s="149"/>
      <c r="F45" s="153"/>
      <c r="G45" s="153"/>
      <c r="H45" s="153"/>
      <c r="I45" s="153"/>
      <c r="J45" s="153"/>
      <c r="K45" s="153"/>
      <c r="L45" s="153"/>
      <c r="M45" s="155"/>
      <c r="N45" s="165"/>
      <c r="O45" s="155"/>
      <c r="P45" s="16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row>
    <row r="46" spans="1:68" ht="15.75" thickBot="1" x14ac:dyDescent="0.3">
      <c r="A46" s="118" t="s">
        <v>201</v>
      </c>
      <c r="B46" s="51">
        <v>0.06</v>
      </c>
      <c r="C46" s="52">
        <v>0.06</v>
      </c>
      <c r="D46" s="168"/>
      <c r="E46" s="149"/>
      <c r="F46" s="153"/>
      <c r="G46" s="153"/>
      <c r="H46" s="153"/>
      <c r="I46" s="153"/>
      <c r="J46" s="153"/>
      <c r="K46" s="153"/>
      <c r="L46" s="153"/>
      <c r="M46" s="155"/>
      <c r="N46" s="165"/>
      <c r="O46" s="155"/>
      <c r="P46" s="16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row>
    <row r="47" spans="1:68" ht="15.75" thickBot="1" x14ac:dyDescent="0.3">
      <c r="A47" s="119"/>
      <c r="B47" s="132"/>
      <c r="C47" s="142"/>
      <c r="D47" s="168"/>
      <c r="E47" s="149"/>
      <c r="F47" s="153"/>
      <c r="G47" s="153"/>
      <c r="H47" s="153"/>
      <c r="I47" s="153"/>
      <c r="J47" s="153"/>
      <c r="K47" s="153"/>
      <c r="L47" s="153"/>
      <c r="M47" s="155"/>
      <c r="N47" s="165"/>
      <c r="O47" s="155"/>
      <c r="P47" s="16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row>
    <row r="48" spans="1:68" ht="15.75" thickBot="1" x14ac:dyDescent="0.3">
      <c r="A48" s="176"/>
      <c r="B48" s="251"/>
      <c r="C48" s="194"/>
      <c r="D48" s="168"/>
      <c r="E48" s="149"/>
      <c r="F48" s="153"/>
      <c r="G48" s="153"/>
      <c r="H48" s="153"/>
      <c r="I48" s="153"/>
      <c r="J48" s="153"/>
      <c r="K48" s="153"/>
      <c r="L48" s="153"/>
      <c r="M48" s="155"/>
      <c r="N48" s="165"/>
      <c r="O48" s="155"/>
      <c r="P48" s="16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row>
    <row r="49" spans="1:68" s="39" customFormat="1" ht="16.5" thickBot="1" x14ac:dyDescent="0.3">
      <c r="A49" s="120" t="s">
        <v>192</v>
      </c>
      <c r="B49" s="252" t="str">
        <f>B19</f>
        <v xml:space="preserve">Ventilation system with heat recovery </v>
      </c>
      <c r="C49" s="253" t="str">
        <f>C19</f>
        <v>Geothermal heat pump system</v>
      </c>
      <c r="D49" s="168"/>
      <c r="E49" s="149"/>
      <c r="F49" s="153"/>
      <c r="G49" s="153"/>
      <c r="H49" s="153"/>
      <c r="I49" s="153"/>
      <c r="J49" s="153"/>
      <c r="K49" s="153"/>
      <c r="L49" s="153"/>
      <c r="M49" s="155"/>
      <c r="N49" s="165"/>
      <c r="O49" s="155"/>
      <c r="P49" s="16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row>
    <row r="50" spans="1:68" s="39" customFormat="1" ht="15.75" thickBot="1" x14ac:dyDescent="0.3">
      <c r="A50" s="121" t="s">
        <v>102</v>
      </c>
      <c r="B50" s="49">
        <v>0.03</v>
      </c>
      <c r="C50" s="53">
        <v>0.03</v>
      </c>
      <c r="D50" s="168"/>
      <c r="E50" s="149"/>
      <c r="F50" s="153"/>
      <c r="G50" s="153"/>
      <c r="H50" s="153"/>
      <c r="I50" s="153"/>
      <c r="J50" s="153"/>
      <c r="K50" s="153"/>
      <c r="L50" s="153"/>
      <c r="M50" s="155"/>
      <c r="N50" s="165"/>
      <c r="O50" s="155"/>
      <c r="P50" s="16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row>
    <row r="51" spans="1:68" ht="15.75" thickBot="1" x14ac:dyDescent="0.3">
      <c r="A51" s="176"/>
      <c r="B51" s="251"/>
      <c r="C51" s="194"/>
      <c r="D51" s="168"/>
      <c r="E51" s="149"/>
      <c r="F51" s="153"/>
      <c r="G51" s="153"/>
      <c r="H51" s="153"/>
      <c r="I51" s="153"/>
      <c r="J51" s="153"/>
      <c r="K51" s="153"/>
      <c r="L51" s="153"/>
      <c r="M51" s="155"/>
      <c r="N51" s="165"/>
      <c r="O51" s="155"/>
      <c r="P51" s="16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row>
    <row r="52" spans="1:68" ht="15.75" thickBot="1" x14ac:dyDescent="0.3">
      <c r="A52" s="121" t="s">
        <v>258</v>
      </c>
      <c r="B52" s="59">
        <v>0</v>
      </c>
      <c r="C52" s="58">
        <v>0</v>
      </c>
      <c r="D52" s="168"/>
      <c r="E52" s="149"/>
      <c r="F52" s="153"/>
      <c r="G52" s="153"/>
      <c r="H52" s="153"/>
      <c r="I52" s="153"/>
      <c r="J52" s="153"/>
      <c r="K52" s="153"/>
      <c r="L52" s="153"/>
      <c r="M52" s="155"/>
      <c r="N52" s="165"/>
      <c r="O52" s="155"/>
      <c r="P52" s="16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row>
    <row r="53" spans="1:68" ht="15.75" thickBot="1" x14ac:dyDescent="0.3">
      <c r="A53" s="176"/>
      <c r="B53" s="251"/>
      <c r="C53" s="194"/>
      <c r="D53" s="168"/>
      <c r="E53" s="149"/>
      <c r="F53" s="153"/>
      <c r="G53" s="153"/>
      <c r="H53" s="153"/>
      <c r="I53" s="153"/>
      <c r="J53" s="153"/>
      <c r="K53" s="153"/>
      <c r="L53" s="153"/>
      <c r="M53" s="155"/>
      <c r="N53" s="165"/>
      <c r="O53" s="155"/>
      <c r="P53" s="16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row>
    <row r="54" spans="1:68" ht="15.75" thickBot="1" x14ac:dyDescent="0.3">
      <c r="A54" s="121" t="s">
        <v>196</v>
      </c>
      <c r="B54" s="47">
        <v>1.4999999999999999E-2</v>
      </c>
      <c r="C54" s="45">
        <v>1.4999999999999999E-2</v>
      </c>
      <c r="D54" s="168"/>
      <c r="E54" s="149"/>
      <c r="F54" s="153"/>
      <c r="G54" s="153"/>
      <c r="H54" s="153"/>
      <c r="I54" s="153"/>
      <c r="J54" s="153"/>
      <c r="K54" s="153"/>
      <c r="L54" s="153"/>
      <c r="M54" s="155"/>
      <c r="N54" s="165"/>
      <c r="O54" s="155"/>
      <c r="P54" s="16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row>
    <row r="55" spans="1:68" ht="15.75" thickBot="1" x14ac:dyDescent="0.3">
      <c r="A55" s="176"/>
      <c r="B55" s="251"/>
      <c r="C55" s="194"/>
      <c r="D55" s="168"/>
      <c r="E55" s="149"/>
      <c r="F55" s="153"/>
      <c r="G55" s="153"/>
      <c r="H55" s="153"/>
      <c r="I55" s="153"/>
      <c r="J55" s="153"/>
      <c r="K55" s="153"/>
      <c r="L55" s="153"/>
      <c r="M55" s="155"/>
      <c r="N55" s="165"/>
      <c r="O55" s="155"/>
      <c r="P55" s="16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row>
    <row r="56" spans="1:68" ht="15.75" thickBot="1" x14ac:dyDescent="0.3">
      <c r="A56" s="121" t="s">
        <v>202</v>
      </c>
      <c r="B56" s="51">
        <v>0.03</v>
      </c>
      <c r="C56" s="52">
        <v>0.03</v>
      </c>
      <c r="D56" s="168"/>
      <c r="E56" s="149"/>
      <c r="F56" s="153"/>
      <c r="G56" s="153"/>
      <c r="H56" s="153"/>
      <c r="I56" s="153"/>
      <c r="J56" s="153"/>
      <c r="K56" s="153"/>
      <c r="L56" s="153"/>
      <c r="M56" s="155"/>
      <c r="N56" s="165"/>
      <c r="O56" s="155"/>
      <c r="P56" s="16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row>
    <row r="57" spans="1:68" ht="15.75" thickBot="1" x14ac:dyDescent="0.3">
      <c r="A57" s="176"/>
      <c r="B57" s="250"/>
      <c r="C57" s="194"/>
      <c r="D57" s="168"/>
      <c r="E57" s="149"/>
      <c r="F57" s="153"/>
      <c r="G57" s="153"/>
      <c r="H57" s="153"/>
      <c r="I57" s="153"/>
      <c r="J57" s="153"/>
      <c r="K57" s="153"/>
      <c r="L57" s="153"/>
      <c r="M57" s="155"/>
      <c r="N57" s="165"/>
      <c r="O57" s="155"/>
      <c r="P57" s="16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row>
    <row r="58" spans="1:68" ht="15.75" thickBot="1" x14ac:dyDescent="0.3">
      <c r="A58" s="121" t="s">
        <v>203</v>
      </c>
      <c r="B58" s="51">
        <v>0.06</v>
      </c>
      <c r="C58" s="52">
        <v>0.06</v>
      </c>
      <c r="D58" s="168"/>
      <c r="E58" s="149"/>
      <c r="F58" s="153"/>
      <c r="G58" s="153"/>
      <c r="H58" s="153"/>
      <c r="I58" s="153"/>
      <c r="J58" s="153"/>
      <c r="K58" s="153"/>
      <c r="L58" s="153"/>
      <c r="M58" s="155"/>
      <c r="N58" s="165"/>
      <c r="O58" s="155"/>
      <c r="P58" s="16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row>
    <row r="59" spans="1:68" ht="15.75" thickBot="1" x14ac:dyDescent="0.3">
      <c r="A59" s="122"/>
      <c r="B59" s="133"/>
      <c r="C59" s="143"/>
      <c r="D59" s="168"/>
      <c r="E59" s="149"/>
      <c r="F59" s="153"/>
      <c r="G59" s="153"/>
      <c r="H59" s="153"/>
      <c r="I59" s="153"/>
      <c r="J59" s="153"/>
      <c r="K59" s="153"/>
      <c r="L59" s="153"/>
      <c r="M59" s="155"/>
      <c r="N59" s="165"/>
      <c r="O59" s="155"/>
      <c r="P59" s="16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row>
    <row r="60" spans="1:68" s="39" customFormat="1" ht="15.75" thickBot="1" x14ac:dyDescent="0.3">
      <c r="A60" s="174"/>
      <c r="B60" s="146"/>
      <c r="C60" s="175"/>
      <c r="D60" s="168"/>
      <c r="E60" s="149"/>
      <c r="F60" s="153"/>
      <c r="G60" s="153"/>
      <c r="H60" s="153"/>
      <c r="I60" s="153"/>
      <c r="J60" s="153"/>
      <c r="K60" s="153"/>
      <c r="L60" s="153"/>
      <c r="M60" s="155"/>
      <c r="N60" s="165"/>
      <c r="O60" s="155"/>
      <c r="P60" s="16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row>
    <row r="61" spans="1:68" s="39" customFormat="1" ht="16.5" thickBot="1" x14ac:dyDescent="0.3">
      <c r="A61" s="123" t="s">
        <v>193</v>
      </c>
      <c r="B61" s="245" t="str">
        <f>B19</f>
        <v xml:space="preserve">Ventilation system with heat recovery </v>
      </c>
      <c r="C61" s="245" t="str">
        <f>C19</f>
        <v>Geothermal heat pump system</v>
      </c>
      <c r="D61" s="168"/>
      <c r="E61" s="149"/>
      <c r="F61" s="153"/>
      <c r="G61" s="153"/>
      <c r="H61" s="153"/>
      <c r="I61" s="153"/>
      <c r="J61" s="153"/>
      <c r="K61" s="153"/>
      <c r="L61" s="153"/>
      <c r="M61" s="155"/>
      <c r="N61" s="165"/>
      <c r="O61" s="155"/>
      <c r="P61" s="16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5"/>
      <c r="BI61" s="155"/>
      <c r="BJ61" s="155"/>
      <c r="BK61" s="155"/>
      <c r="BL61" s="155"/>
      <c r="BM61" s="155"/>
      <c r="BN61" s="155"/>
      <c r="BO61" s="155"/>
      <c r="BP61" s="155"/>
    </row>
    <row r="62" spans="1:68" s="39" customFormat="1" ht="15.75" thickBot="1" x14ac:dyDescent="0.3">
      <c r="A62" s="147" t="s">
        <v>152</v>
      </c>
      <c r="B62" s="64">
        <v>6</v>
      </c>
      <c r="C62" s="64">
        <v>6</v>
      </c>
      <c r="D62" s="168"/>
      <c r="E62" s="149"/>
      <c r="F62" s="153"/>
      <c r="G62" s="153"/>
      <c r="H62" s="153"/>
      <c r="I62" s="153"/>
      <c r="J62" s="153"/>
      <c r="K62" s="153"/>
      <c r="L62" s="153"/>
      <c r="M62" s="155"/>
      <c r="N62" s="165"/>
      <c r="O62" s="155"/>
      <c r="P62" s="16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row>
    <row r="63" spans="1:68" s="39" customFormat="1" ht="15.75" thickBot="1" x14ac:dyDescent="0.3">
      <c r="A63" s="174"/>
      <c r="B63" s="146"/>
      <c r="C63" s="175"/>
      <c r="D63" s="168"/>
      <c r="E63" s="149"/>
      <c r="F63" s="153"/>
      <c r="G63" s="153"/>
      <c r="H63" s="153"/>
      <c r="I63" s="153"/>
      <c r="J63" s="153"/>
      <c r="K63" s="153"/>
      <c r="L63" s="153"/>
      <c r="M63" s="155"/>
      <c r="N63" s="165"/>
      <c r="O63" s="155"/>
      <c r="P63" s="16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row>
    <row r="64" spans="1:68" ht="15.75" thickBot="1" x14ac:dyDescent="0.3">
      <c r="A64" s="147" t="s">
        <v>271</v>
      </c>
      <c r="B64" s="64">
        <v>0</v>
      </c>
      <c r="C64" s="65">
        <v>0</v>
      </c>
      <c r="D64" s="145"/>
      <c r="E64" s="149"/>
      <c r="F64" s="153"/>
      <c r="G64" s="153"/>
      <c r="H64" s="153"/>
      <c r="I64" s="153"/>
      <c r="J64" s="153"/>
      <c r="K64" s="153"/>
      <c r="L64" s="153"/>
      <c r="M64" s="155"/>
      <c r="N64" s="165"/>
      <c r="O64" s="155"/>
      <c r="P64" s="16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row>
    <row r="65" spans="1:68" s="39" customFormat="1" ht="15.75" thickBot="1" x14ac:dyDescent="0.3">
      <c r="A65" s="180"/>
      <c r="B65" s="178"/>
      <c r="C65" s="179"/>
      <c r="D65" s="145"/>
      <c r="E65" s="149"/>
      <c r="F65" s="153"/>
      <c r="G65" s="153"/>
      <c r="H65" s="153"/>
      <c r="I65" s="153"/>
      <c r="J65" s="153"/>
      <c r="K65" s="153"/>
      <c r="L65" s="153"/>
      <c r="M65" s="155"/>
      <c r="N65" s="165"/>
      <c r="O65" s="155"/>
      <c r="P65" s="16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row>
    <row r="66" spans="1:68" s="39" customFormat="1" ht="15.75" thickBot="1" x14ac:dyDescent="0.3">
      <c r="A66" s="148" t="s">
        <v>204</v>
      </c>
      <c r="B66" s="66">
        <v>0.02</v>
      </c>
      <c r="C66" s="66">
        <v>0.02</v>
      </c>
      <c r="D66" s="145"/>
      <c r="E66" s="149"/>
      <c r="F66" s="153"/>
      <c r="G66" s="153"/>
      <c r="H66" s="153"/>
      <c r="I66" s="153"/>
      <c r="J66" s="153"/>
      <c r="K66" s="153"/>
      <c r="L66" s="153"/>
      <c r="M66" s="155"/>
      <c r="N66" s="165"/>
      <c r="O66" s="155"/>
      <c r="P66" s="16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row>
    <row r="67" spans="1:68" s="39" customFormat="1" ht="15.75" thickBot="1" x14ac:dyDescent="0.3">
      <c r="A67" s="180"/>
      <c r="B67" s="178"/>
      <c r="C67" s="179"/>
      <c r="D67" s="145"/>
      <c r="E67" s="149"/>
      <c r="F67" s="153"/>
      <c r="G67" s="153"/>
      <c r="H67" s="153"/>
      <c r="I67" s="153"/>
      <c r="J67" s="153"/>
      <c r="K67" s="153"/>
      <c r="L67" s="153"/>
      <c r="M67" s="155"/>
      <c r="N67" s="165"/>
      <c r="O67" s="155"/>
      <c r="P67" s="16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row>
    <row r="68" spans="1:68" s="39" customFormat="1" ht="15.75" thickBot="1" x14ac:dyDescent="0.3">
      <c r="A68" s="148" t="s">
        <v>205</v>
      </c>
      <c r="B68" s="66">
        <v>0.04</v>
      </c>
      <c r="C68" s="66">
        <v>0.04</v>
      </c>
      <c r="D68" s="145"/>
      <c r="E68" s="149"/>
      <c r="F68" s="153"/>
      <c r="G68" s="153"/>
      <c r="H68" s="153"/>
      <c r="I68" s="153"/>
      <c r="J68" s="153"/>
      <c r="K68" s="153"/>
      <c r="L68" s="153"/>
      <c r="M68" s="155"/>
      <c r="N68" s="165"/>
      <c r="O68" s="155"/>
      <c r="P68" s="16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row>
    <row r="69" spans="1:68" s="11" customFormat="1" ht="15.75" thickBot="1" x14ac:dyDescent="0.3">
      <c r="A69" s="124"/>
      <c r="B69" s="134"/>
      <c r="C69" s="144"/>
      <c r="D69" s="145"/>
      <c r="E69" s="149"/>
      <c r="F69" s="153"/>
      <c r="G69" s="153"/>
      <c r="H69" s="153"/>
      <c r="I69" s="153"/>
      <c r="J69" s="153"/>
      <c r="K69" s="153"/>
      <c r="L69" s="153"/>
      <c r="M69" s="155"/>
      <c r="N69" s="165"/>
      <c r="O69" s="155"/>
      <c r="P69" s="16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row>
    <row r="70" spans="1:68" s="11" customFormat="1" ht="15.75" thickBot="1" x14ac:dyDescent="0.3">
      <c r="A70" s="176"/>
      <c r="B70" s="146"/>
      <c r="C70" s="175"/>
      <c r="D70" s="145"/>
      <c r="E70" s="149"/>
      <c r="F70" s="153"/>
      <c r="G70" s="153"/>
      <c r="H70" s="153"/>
      <c r="I70" s="153"/>
      <c r="J70" s="153"/>
      <c r="K70" s="153"/>
      <c r="L70" s="153"/>
      <c r="M70" s="155"/>
      <c r="N70" s="165"/>
      <c r="O70" s="155"/>
      <c r="P70" s="16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row>
    <row r="71" spans="1:68" s="11" customFormat="1" ht="19.5" thickBot="1" x14ac:dyDescent="0.35">
      <c r="A71" s="154" t="s">
        <v>241</v>
      </c>
      <c r="B71" s="243" t="str">
        <f>B19</f>
        <v xml:space="preserve">Ventilation system with heat recovery </v>
      </c>
      <c r="C71" s="243" t="str">
        <f>C19</f>
        <v>Geothermal heat pump system</v>
      </c>
      <c r="D71" s="145"/>
      <c r="E71" s="149"/>
      <c r="F71" s="153"/>
      <c r="G71" s="153"/>
      <c r="H71" s="153"/>
      <c r="I71" s="153"/>
      <c r="J71" s="153"/>
      <c r="K71" s="153"/>
      <c r="L71" s="153"/>
      <c r="M71" s="155"/>
      <c r="N71" s="165"/>
      <c r="O71" s="155"/>
      <c r="P71" s="16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row>
    <row r="72" spans="1:68" s="39" customFormat="1" ht="15.75" thickBot="1" x14ac:dyDescent="0.3">
      <c r="A72" s="174"/>
      <c r="B72" s="146"/>
      <c r="C72" s="175"/>
      <c r="D72" s="145"/>
      <c r="E72" s="149"/>
      <c r="F72" s="153"/>
      <c r="G72" s="153"/>
      <c r="H72" s="153"/>
      <c r="I72" s="153"/>
      <c r="J72" s="153"/>
      <c r="K72" s="153"/>
      <c r="L72" s="153"/>
      <c r="M72" s="155"/>
      <c r="N72" s="165"/>
      <c r="O72" s="155"/>
      <c r="P72" s="16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row>
    <row r="73" spans="1:68" ht="15.75" thickBot="1" x14ac:dyDescent="0.3">
      <c r="A73" s="125" t="s">
        <v>191</v>
      </c>
      <c r="B73" s="56">
        <v>184000</v>
      </c>
      <c r="C73" s="56">
        <v>250000</v>
      </c>
      <c r="D73" s="168"/>
      <c r="E73" s="149"/>
      <c r="F73" s="153"/>
      <c r="G73" s="153"/>
      <c r="H73" s="153"/>
      <c r="I73" s="153"/>
      <c r="J73" s="153"/>
      <c r="K73" s="153"/>
      <c r="L73" s="153"/>
      <c r="M73" s="155"/>
      <c r="N73" s="165"/>
      <c r="O73" s="155"/>
      <c r="P73" s="16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155"/>
      <c r="BN73" s="155"/>
      <c r="BO73" s="155"/>
      <c r="BP73" s="155"/>
    </row>
    <row r="74" spans="1:68" s="11" customFormat="1" ht="15.75" thickBot="1" x14ac:dyDescent="0.3">
      <c r="A74" s="176"/>
      <c r="B74" s="184"/>
      <c r="C74" s="191"/>
      <c r="D74" s="145"/>
      <c r="E74" s="149"/>
      <c r="F74" s="153"/>
      <c r="G74" s="153"/>
      <c r="H74" s="153"/>
      <c r="I74" s="153"/>
      <c r="J74" s="153"/>
      <c r="K74" s="153"/>
      <c r="L74" s="153"/>
      <c r="M74" s="155"/>
      <c r="N74" s="165"/>
      <c r="O74" s="155"/>
      <c r="P74" s="16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5"/>
    </row>
    <row r="75" spans="1:68" ht="15.75" thickBot="1" x14ac:dyDescent="0.3">
      <c r="A75" s="125" t="s">
        <v>92</v>
      </c>
      <c r="B75" s="40">
        <v>0.01</v>
      </c>
      <c r="C75" s="40">
        <v>0.01</v>
      </c>
      <c r="D75" s="145"/>
      <c r="E75" s="149"/>
      <c r="F75" s="153"/>
      <c r="G75" s="153"/>
      <c r="H75" s="153"/>
      <c r="I75" s="153"/>
      <c r="J75" s="153"/>
      <c r="K75" s="153"/>
      <c r="L75" s="153"/>
      <c r="M75" s="155"/>
      <c r="N75" s="165"/>
      <c r="O75" s="155"/>
      <c r="P75" s="16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5"/>
    </row>
    <row r="76" spans="1:68" ht="15.75" thickBot="1" x14ac:dyDescent="0.3">
      <c r="A76" s="174"/>
      <c r="B76" s="184"/>
      <c r="C76" s="191"/>
      <c r="D76" s="145"/>
      <c r="E76" s="149"/>
      <c r="F76" s="153"/>
      <c r="G76" s="153"/>
      <c r="H76" s="153"/>
      <c r="I76" s="153"/>
      <c r="J76" s="153"/>
      <c r="K76" s="153"/>
      <c r="L76" s="153"/>
      <c r="M76" s="155"/>
      <c r="N76" s="165"/>
      <c r="O76" s="155"/>
      <c r="P76" s="16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row>
    <row r="77" spans="1:68" ht="15.75" thickBot="1" x14ac:dyDescent="0.3">
      <c r="A77" s="125" t="s">
        <v>297</v>
      </c>
      <c r="B77" s="40">
        <v>0.15</v>
      </c>
      <c r="C77" s="40">
        <v>0.15</v>
      </c>
      <c r="D77" s="145"/>
      <c r="E77" s="149"/>
      <c r="F77" s="153"/>
      <c r="G77" s="153"/>
      <c r="H77" s="153"/>
      <c r="I77" s="153"/>
      <c r="J77" s="153"/>
      <c r="K77" s="153"/>
      <c r="L77" s="153"/>
      <c r="M77" s="155"/>
      <c r="N77" s="165"/>
      <c r="O77" s="155"/>
      <c r="P77" s="16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row>
    <row r="78" spans="1:68" s="39" customFormat="1" ht="15.75" thickBot="1" x14ac:dyDescent="0.3">
      <c r="A78" s="114"/>
      <c r="B78" s="192"/>
      <c r="C78" s="193"/>
      <c r="D78" s="145"/>
      <c r="E78" s="149"/>
      <c r="F78" s="153"/>
      <c r="G78" s="153"/>
      <c r="H78" s="153"/>
      <c r="I78" s="153"/>
      <c r="J78" s="153"/>
      <c r="K78" s="153"/>
      <c r="L78" s="153"/>
      <c r="M78" s="155"/>
      <c r="N78" s="165"/>
      <c r="O78" s="155"/>
      <c r="P78" s="16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5"/>
      <c r="BI78" s="155"/>
      <c r="BJ78" s="155"/>
      <c r="BK78" s="155"/>
      <c r="BL78" s="155"/>
      <c r="BM78" s="155"/>
      <c r="BN78" s="155"/>
      <c r="BO78" s="155"/>
      <c r="BP78" s="155"/>
    </row>
    <row r="79" spans="1:68" s="39" customFormat="1" ht="15.75" thickBot="1" x14ac:dyDescent="0.3">
      <c r="A79" s="125" t="s">
        <v>158</v>
      </c>
      <c r="B79" s="40">
        <v>0.02</v>
      </c>
      <c r="C79" s="40">
        <v>0.02</v>
      </c>
      <c r="D79" s="145"/>
      <c r="E79" s="149"/>
      <c r="F79" s="153"/>
      <c r="G79" s="153"/>
      <c r="H79" s="153"/>
      <c r="I79" s="153"/>
      <c r="J79" s="153"/>
      <c r="K79" s="153"/>
      <c r="L79" s="153"/>
      <c r="M79" s="155"/>
      <c r="N79" s="165"/>
      <c r="O79" s="155"/>
      <c r="P79" s="16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row>
    <row r="80" spans="1:68" ht="15.75" thickBot="1" x14ac:dyDescent="0.3">
      <c r="A80" s="176"/>
      <c r="B80" s="251"/>
      <c r="C80" s="194"/>
      <c r="D80" s="145"/>
      <c r="E80" s="149"/>
      <c r="F80" s="153"/>
      <c r="G80" s="153"/>
      <c r="H80" s="153"/>
      <c r="I80" s="153"/>
      <c r="J80" s="153"/>
      <c r="K80" s="153"/>
      <c r="L80" s="153"/>
      <c r="M80" s="155"/>
      <c r="N80" s="165"/>
      <c r="O80" s="155"/>
      <c r="P80" s="16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row>
    <row r="81" spans="1:68" ht="15.75" thickBot="1" x14ac:dyDescent="0.3">
      <c r="A81" s="125" t="s">
        <v>170</v>
      </c>
      <c r="B81" s="40">
        <v>0.04</v>
      </c>
      <c r="C81" s="40">
        <v>0.04</v>
      </c>
      <c r="D81" s="145"/>
      <c r="E81" s="149"/>
      <c r="F81" s="153"/>
      <c r="G81" s="153"/>
      <c r="H81" s="153"/>
      <c r="I81" s="153"/>
      <c r="J81" s="153"/>
      <c r="K81" s="153"/>
      <c r="L81" s="153"/>
      <c r="M81" s="155"/>
      <c r="N81" s="165"/>
      <c r="O81" s="155"/>
      <c r="P81" s="16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55"/>
      <c r="BJ81" s="155"/>
      <c r="BK81" s="155"/>
      <c r="BL81" s="155"/>
      <c r="BM81" s="155"/>
      <c r="BN81" s="155"/>
      <c r="BO81" s="155"/>
      <c r="BP81" s="155"/>
    </row>
    <row r="82" spans="1:68" ht="15.75" thickBot="1" x14ac:dyDescent="0.3">
      <c r="A82" s="174"/>
      <c r="B82" s="146"/>
      <c r="C82" s="175"/>
      <c r="D82" s="145"/>
      <c r="E82" s="149"/>
      <c r="F82" s="153"/>
      <c r="G82" s="153"/>
      <c r="H82" s="153"/>
      <c r="I82" s="153"/>
      <c r="J82" s="153"/>
      <c r="K82" s="153"/>
      <c r="L82" s="153"/>
      <c r="M82" s="155"/>
      <c r="N82" s="165"/>
      <c r="O82" s="155"/>
      <c r="P82" s="16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row>
    <row r="83" spans="1:68" ht="19.5" thickBot="1" x14ac:dyDescent="0.35">
      <c r="A83" s="244" t="s">
        <v>242</v>
      </c>
      <c r="B83" s="242" t="str">
        <f>B19</f>
        <v xml:space="preserve">Ventilation system with heat recovery </v>
      </c>
      <c r="C83" s="242" t="str">
        <f>C19</f>
        <v>Geothermal heat pump system</v>
      </c>
      <c r="D83" s="161"/>
      <c r="E83" s="149"/>
      <c r="F83" s="153"/>
      <c r="G83" s="153"/>
      <c r="H83" s="153"/>
      <c r="I83" s="153"/>
      <c r="J83" s="153"/>
      <c r="K83" s="153"/>
      <c r="L83" s="153"/>
      <c r="M83" s="155"/>
      <c r="N83" s="165"/>
      <c r="O83" s="155"/>
      <c r="P83" s="16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row>
    <row r="84" spans="1:68" ht="15.75" thickBot="1" x14ac:dyDescent="0.3">
      <c r="A84" s="174"/>
      <c r="B84" s="177"/>
      <c r="C84" s="189"/>
      <c r="D84" s="145"/>
      <c r="E84" s="149"/>
      <c r="F84" s="153"/>
      <c r="G84" s="153"/>
      <c r="H84" s="153"/>
      <c r="I84" s="153"/>
      <c r="J84" s="153"/>
      <c r="K84" s="153"/>
      <c r="L84" s="153"/>
      <c r="M84" s="155"/>
      <c r="N84" s="165"/>
      <c r="O84" s="155"/>
      <c r="P84" s="16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row>
    <row r="85" spans="1:68" ht="15.75" thickBot="1" x14ac:dyDescent="0.3">
      <c r="A85" s="125" t="s">
        <v>272</v>
      </c>
      <c r="B85" s="209">
        <v>-82</v>
      </c>
      <c r="C85" s="44">
        <v>0</v>
      </c>
      <c r="D85" s="145"/>
      <c r="E85" s="149"/>
      <c r="F85" s="153"/>
      <c r="G85" s="153"/>
      <c r="H85" s="153"/>
      <c r="I85" s="153"/>
      <c r="J85" s="153"/>
      <c r="K85" s="153"/>
      <c r="L85" s="153"/>
      <c r="M85" s="155"/>
      <c r="N85" s="165"/>
      <c r="O85" s="155"/>
      <c r="P85" s="16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row>
    <row r="86" spans="1:68" ht="15.75" thickBot="1" x14ac:dyDescent="0.3">
      <c r="A86" s="174"/>
      <c r="B86" s="146"/>
      <c r="C86" s="175"/>
      <c r="D86" s="169"/>
      <c r="E86" s="149"/>
      <c r="F86" s="153"/>
      <c r="G86" s="153"/>
      <c r="H86" s="153"/>
      <c r="I86" s="153"/>
      <c r="J86" s="153"/>
      <c r="K86" s="153"/>
      <c r="L86" s="153"/>
      <c r="M86" s="155"/>
      <c r="N86" s="165"/>
      <c r="O86" s="155"/>
      <c r="P86" s="16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row>
    <row r="87" spans="1:68" ht="15.75" thickBot="1" x14ac:dyDescent="0.3">
      <c r="A87" s="127" t="s">
        <v>197</v>
      </c>
      <c r="B87" s="45">
        <v>100</v>
      </c>
      <c r="C87" s="45">
        <v>100</v>
      </c>
      <c r="D87" s="145"/>
      <c r="E87" s="149"/>
      <c r="F87" s="153"/>
      <c r="G87" s="153"/>
      <c r="H87" s="153"/>
      <c r="I87" s="153"/>
      <c r="J87" s="153"/>
      <c r="K87" s="153"/>
      <c r="L87" s="153"/>
      <c r="M87" s="162"/>
      <c r="N87" s="165"/>
      <c r="O87" s="155"/>
      <c r="P87" s="16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row>
    <row r="88" spans="1:68" s="39" customFormat="1" ht="15.75" thickBot="1" x14ac:dyDescent="0.3">
      <c r="A88" s="195"/>
      <c r="B88" s="254"/>
      <c r="C88" s="255"/>
      <c r="D88" s="145"/>
      <c r="E88" s="149"/>
      <c r="F88" s="153"/>
      <c r="G88" s="153"/>
      <c r="H88" s="153"/>
      <c r="I88" s="153"/>
      <c r="J88" s="153"/>
      <c r="K88" s="153"/>
      <c r="L88" s="153"/>
      <c r="M88" s="162"/>
      <c r="N88" s="165"/>
      <c r="O88" s="155"/>
      <c r="P88" s="16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row>
    <row r="89" spans="1:68" ht="21.75" thickBot="1" x14ac:dyDescent="0.4">
      <c r="A89" s="234" t="s">
        <v>171</v>
      </c>
      <c r="B89" s="235"/>
      <c r="C89" s="236"/>
      <c r="D89" s="168"/>
      <c r="E89" s="149"/>
      <c r="F89" s="170"/>
      <c r="G89" s="170"/>
      <c r="H89" s="170"/>
      <c r="I89" s="170"/>
      <c r="J89" s="170"/>
      <c r="K89" s="170"/>
      <c r="L89" s="170"/>
      <c r="M89" s="155"/>
      <c r="N89" s="165"/>
      <c r="O89" s="155"/>
      <c r="P89" s="16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row>
    <row r="90" spans="1:68" ht="15.75" thickBot="1" x14ac:dyDescent="0.3">
      <c r="A90" s="174"/>
      <c r="B90" s="177"/>
      <c r="C90" s="189"/>
      <c r="D90" s="168"/>
      <c r="E90" s="149"/>
      <c r="F90" s="170"/>
      <c r="G90" s="170"/>
      <c r="H90" s="170"/>
      <c r="I90" s="170"/>
      <c r="J90" s="170"/>
      <c r="K90" s="170"/>
      <c r="L90" s="170"/>
      <c r="M90" s="155"/>
      <c r="N90" s="165"/>
      <c r="O90" s="155"/>
      <c r="P90" s="16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row>
    <row r="91" spans="1:68" ht="19.5" thickBot="1" x14ac:dyDescent="0.35">
      <c r="A91" s="233" t="s">
        <v>236</v>
      </c>
      <c r="B91" s="237" t="str">
        <f>B19</f>
        <v xml:space="preserve">Ventilation system with heat recovery </v>
      </c>
      <c r="C91" s="238" t="str">
        <f>C19</f>
        <v>Geothermal heat pump system</v>
      </c>
      <c r="D91" s="168"/>
      <c r="E91" s="149"/>
      <c r="F91" s="170"/>
      <c r="G91" s="170"/>
      <c r="H91" s="170"/>
      <c r="I91" s="170"/>
      <c r="J91" s="170"/>
      <c r="K91" s="170"/>
      <c r="L91" s="170"/>
      <c r="M91" s="155"/>
      <c r="N91" s="165"/>
      <c r="O91" s="155"/>
      <c r="P91" s="16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5"/>
      <c r="BM91" s="155"/>
      <c r="BN91" s="155"/>
      <c r="BO91" s="155"/>
      <c r="BP91" s="155"/>
    </row>
    <row r="92" spans="1:68" s="39" customFormat="1" ht="15.75" thickBot="1" x14ac:dyDescent="0.3">
      <c r="A92" s="196"/>
      <c r="B92" s="197"/>
      <c r="C92" s="198"/>
      <c r="D92" s="168"/>
      <c r="E92" s="149"/>
      <c r="F92" s="170"/>
      <c r="G92" s="170"/>
      <c r="H92" s="170"/>
      <c r="I92" s="170"/>
      <c r="J92" s="170"/>
      <c r="K92" s="170"/>
      <c r="L92" s="170"/>
      <c r="M92" s="155"/>
      <c r="N92" s="165"/>
      <c r="O92" s="155"/>
      <c r="P92" s="16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c r="BP92" s="155"/>
    </row>
    <row r="93" spans="1:68" ht="15.75" thickBot="1" x14ac:dyDescent="0.3">
      <c r="A93" s="128" t="s">
        <v>243</v>
      </c>
      <c r="B93" s="135">
        <f>-B40*B38</f>
        <v>11700</v>
      </c>
      <c r="C93" s="135">
        <f>-C40*C38</f>
        <v>45000</v>
      </c>
      <c r="D93" s="168"/>
      <c r="E93" s="149"/>
      <c r="F93" s="170"/>
      <c r="G93" s="170"/>
      <c r="H93" s="170"/>
      <c r="I93" s="170"/>
      <c r="J93" s="170"/>
      <c r="K93" s="170"/>
      <c r="L93" s="170"/>
      <c r="M93" s="155"/>
      <c r="N93" s="165"/>
      <c r="O93" s="155"/>
      <c r="P93" s="16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5"/>
      <c r="BM93" s="155"/>
      <c r="BN93" s="155"/>
      <c r="BO93" s="155"/>
      <c r="BP93" s="155"/>
    </row>
    <row r="94" spans="1:68" s="11" customFormat="1" ht="15.75" thickBot="1" x14ac:dyDescent="0.3">
      <c r="A94" s="176"/>
      <c r="B94" s="184"/>
      <c r="C94" s="191"/>
      <c r="D94" s="168"/>
      <c r="E94" s="149"/>
      <c r="F94" s="170"/>
      <c r="G94" s="170"/>
      <c r="H94" s="170"/>
      <c r="I94" s="170"/>
      <c r="J94" s="170"/>
      <c r="K94" s="170"/>
      <c r="L94" s="170"/>
      <c r="M94" s="155"/>
      <c r="N94" s="165"/>
      <c r="O94" s="155"/>
      <c r="P94" s="16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c r="BP94" s="155"/>
    </row>
    <row r="95" spans="1:68" ht="15.75" thickBot="1" x14ac:dyDescent="0.3">
      <c r="A95" s="128" t="s">
        <v>244</v>
      </c>
      <c r="B95" s="136">
        <f>-B28*B26</f>
        <v>-240</v>
      </c>
      <c r="C95" s="135">
        <f>-C28*C26</f>
        <v>-20400</v>
      </c>
      <c r="D95" s="168"/>
      <c r="E95" s="149"/>
      <c r="F95" s="170"/>
      <c r="G95" s="170"/>
      <c r="H95" s="170"/>
      <c r="I95" s="170"/>
      <c r="J95" s="170"/>
      <c r="K95" s="170"/>
      <c r="L95" s="170"/>
      <c r="M95" s="155"/>
      <c r="N95" s="165"/>
      <c r="O95" s="155"/>
      <c r="P95" s="16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5"/>
      <c r="BC95" s="155"/>
      <c r="BD95" s="155"/>
      <c r="BE95" s="155"/>
      <c r="BF95" s="155"/>
      <c r="BG95" s="155"/>
      <c r="BH95" s="155"/>
      <c r="BI95" s="155"/>
      <c r="BJ95" s="155"/>
      <c r="BK95" s="155"/>
      <c r="BL95" s="155"/>
      <c r="BM95" s="155"/>
      <c r="BN95" s="155"/>
      <c r="BO95" s="155"/>
      <c r="BP95" s="155"/>
    </row>
    <row r="96" spans="1:68" ht="15.75" thickBot="1" x14ac:dyDescent="0.3">
      <c r="A96" s="176"/>
      <c r="B96" s="146"/>
      <c r="C96" s="175"/>
      <c r="D96" s="168"/>
      <c r="E96" s="149"/>
      <c r="F96" s="170"/>
      <c r="G96" s="170"/>
      <c r="H96" s="170"/>
      <c r="I96" s="170"/>
      <c r="J96" s="170"/>
      <c r="K96" s="170"/>
      <c r="L96" s="170"/>
      <c r="M96" s="155"/>
      <c r="N96" s="165"/>
      <c r="O96" s="155"/>
      <c r="P96" s="16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5"/>
      <c r="BL96" s="155"/>
      <c r="BM96" s="155"/>
      <c r="BN96" s="155"/>
      <c r="BO96" s="155"/>
      <c r="BP96" s="155"/>
    </row>
    <row r="97" spans="1:68" ht="15.75" thickBot="1" x14ac:dyDescent="0.3">
      <c r="A97" s="128" t="s">
        <v>245</v>
      </c>
      <c r="B97" s="137">
        <f>-B50*B52</f>
        <v>0</v>
      </c>
      <c r="C97" s="136">
        <f>-C50*C52</f>
        <v>0</v>
      </c>
      <c r="D97" s="149"/>
      <c r="E97" s="149"/>
      <c r="F97" s="170"/>
      <c r="G97" s="170"/>
      <c r="H97" s="170"/>
      <c r="I97" s="170"/>
      <c r="J97" s="170"/>
      <c r="K97" s="170"/>
      <c r="L97" s="170"/>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c r="BG97" s="155"/>
      <c r="BH97" s="155"/>
      <c r="BI97" s="155"/>
      <c r="BJ97" s="155"/>
      <c r="BK97" s="155"/>
      <c r="BL97" s="155"/>
      <c r="BM97" s="155"/>
      <c r="BN97" s="155"/>
      <c r="BO97" s="155"/>
      <c r="BP97" s="155"/>
    </row>
    <row r="98" spans="1:68" s="39" customFormat="1" ht="15.75" thickBot="1" x14ac:dyDescent="0.3">
      <c r="A98" s="176"/>
      <c r="B98" s="181"/>
      <c r="C98" s="199"/>
      <c r="D98" s="149"/>
      <c r="E98" s="149"/>
      <c r="F98" s="170"/>
      <c r="G98" s="170"/>
      <c r="H98" s="170"/>
      <c r="I98" s="170"/>
      <c r="J98" s="170"/>
      <c r="K98" s="170"/>
      <c r="L98" s="170"/>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c r="BG98" s="155"/>
      <c r="BH98" s="155"/>
      <c r="BI98" s="155"/>
      <c r="BJ98" s="155"/>
      <c r="BK98" s="155"/>
      <c r="BL98" s="155"/>
      <c r="BM98" s="155"/>
      <c r="BN98" s="155"/>
      <c r="BO98" s="155"/>
      <c r="BP98" s="155"/>
    </row>
    <row r="99" spans="1:68" ht="15.75" thickBot="1" x14ac:dyDescent="0.3">
      <c r="A99" s="128" t="s">
        <v>246</v>
      </c>
      <c r="B99" s="135">
        <f>B93+B95+B97</f>
        <v>11460</v>
      </c>
      <c r="C99" s="135">
        <f>C93+C95+C97</f>
        <v>24600</v>
      </c>
      <c r="D99" s="149"/>
      <c r="E99" s="149"/>
      <c r="F99" s="170"/>
      <c r="G99" s="170"/>
      <c r="H99" s="170"/>
      <c r="I99" s="170"/>
      <c r="J99" s="170"/>
      <c r="K99" s="170"/>
      <c r="L99" s="170"/>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c r="BG99" s="155"/>
      <c r="BH99" s="155"/>
      <c r="BI99" s="155"/>
      <c r="BJ99" s="155"/>
      <c r="BK99" s="155"/>
      <c r="BL99" s="155"/>
      <c r="BM99" s="155"/>
      <c r="BN99" s="155"/>
      <c r="BO99" s="155"/>
      <c r="BP99" s="155"/>
    </row>
    <row r="100" spans="1:68" s="39" customFormat="1" ht="15.75" thickBot="1" x14ac:dyDescent="0.3">
      <c r="A100" s="146"/>
      <c r="B100" s="182"/>
      <c r="C100" s="200"/>
      <c r="D100" s="149"/>
      <c r="E100" s="149"/>
      <c r="F100" s="170"/>
      <c r="G100" s="170"/>
      <c r="H100" s="170"/>
      <c r="I100" s="170"/>
      <c r="J100" s="170"/>
      <c r="K100" s="170"/>
      <c r="L100" s="170"/>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55"/>
      <c r="BJ100" s="155"/>
      <c r="BK100" s="155"/>
      <c r="BL100" s="155"/>
      <c r="BM100" s="155"/>
      <c r="BN100" s="155"/>
      <c r="BO100" s="155"/>
      <c r="BP100" s="155"/>
    </row>
    <row r="101" spans="1:68" ht="15.75" thickBot="1" x14ac:dyDescent="0.3">
      <c r="A101" s="129" t="s">
        <v>247</v>
      </c>
      <c r="B101" s="130">
        <f>-B62*B64</f>
        <v>0</v>
      </c>
      <c r="C101" s="130">
        <f>-C62*C64</f>
        <v>0</v>
      </c>
      <c r="D101" s="161"/>
      <c r="E101" s="149"/>
      <c r="F101" s="153"/>
      <c r="G101" s="153"/>
      <c r="H101" s="153"/>
      <c r="I101" s="153"/>
      <c r="J101" s="170"/>
      <c r="K101" s="170"/>
      <c r="L101" s="170"/>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row>
    <row r="102" spans="1:68" s="39" customFormat="1" ht="15.75" thickBot="1" x14ac:dyDescent="0.3">
      <c r="A102" s="146"/>
      <c r="B102" s="146"/>
      <c r="C102" s="175"/>
      <c r="D102" s="161"/>
      <c r="E102" s="149"/>
      <c r="F102" s="153"/>
      <c r="G102" s="153"/>
      <c r="H102" s="153"/>
      <c r="I102" s="153"/>
      <c r="J102" s="170"/>
      <c r="K102" s="170"/>
      <c r="L102" s="170"/>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row>
    <row r="103" spans="1:68" ht="15.75" thickBot="1" x14ac:dyDescent="0.3">
      <c r="A103" s="128" t="s">
        <v>248</v>
      </c>
      <c r="B103" s="135">
        <f>B21*(B99+B101)</f>
        <v>229200</v>
      </c>
      <c r="C103" s="135">
        <f>C21*(C99+C101)</f>
        <v>492000</v>
      </c>
      <c r="D103" s="145"/>
      <c r="E103" s="149"/>
      <c r="F103" s="153"/>
      <c r="G103" s="153"/>
      <c r="H103" s="153"/>
      <c r="I103" s="153"/>
      <c r="J103" s="170"/>
      <c r="K103" s="170"/>
      <c r="L103" s="170"/>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55"/>
      <c r="BL103" s="155"/>
      <c r="BM103" s="155"/>
      <c r="BN103" s="155"/>
      <c r="BO103" s="155"/>
      <c r="BP103" s="155"/>
    </row>
    <row r="104" spans="1:68" s="39" customFormat="1" x14ac:dyDescent="0.25">
      <c r="A104" s="176"/>
      <c r="B104" s="182"/>
      <c r="C104" s="200"/>
      <c r="D104" s="145"/>
      <c r="E104" s="149"/>
      <c r="F104" s="153"/>
      <c r="G104" s="153"/>
      <c r="H104" s="153"/>
      <c r="I104" s="153"/>
      <c r="J104" s="170"/>
      <c r="K104" s="170"/>
      <c r="L104" s="170"/>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c r="BP104" s="155"/>
    </row>
    <row r="105" spans="1:68" s="11" customFormat="1" ht="15.75" thickBot="1" x14ac:dyDescent="0.3">
      <c r="A105" s="174"/>
      <c r="B105" s="177"/>
      <c r="C105" s="189"/>
      <c r="D105" s="171"/>
      <c r="E105" s="149"/>
      <c r="F105" s="153"/>
      <c r="G105" s="153"/>
      <c r="H105" s="153"/>
      <c r="I105" s="153"/>
      <c r="J105" s="170"/>
      <c r="K105" s="170"/>
      <c r="L105" s="170"/>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55"/>
      <c r="BJ105" s="155"/>
      <c r="BK105" s="155"/>
      <c r="BL105" s="155"/>
      <c r="BM105" s="155"/>
      <c r="BN105" s="155"/>
      <c r="BO105" s="155"/>
      <c r="BP105" s="155"/>
    </row>
    <row r="106" spans="1:68" ht="19.5" thickBot="1" x14ac:dyDescent="0.35">
      <c r="A106" s="233" t="s">
        <v>237</v>
      </c>
      <c r="B106" s="208" t="str">
        <f>B19</f>
        <v xml:space="preserve">Ventilation system with heat recovery </v>
      </c>
      <c r="C106" s="208" t="str">
        <f>C19</f>
        <v>Geothermal heat pump system</v>
      </c>
      <c r="D106" s="145"/>
      <c r="E106" s="149"/>
      <c r="F106" s="153"/>
      <c r="G106" s="153"/>
      <c r="H106" s="153"/>
      <c r="I106" s="153"/>
      <c r="J106" s="170"/>
      <c r="K106" s="170"/>
      <c r="L106" s="170"/>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c r="BG106" s="155"/>
      <c r="BH106" s="155"/>
      <c r="BI106" s="155"/>
      <c r="BJ106" s="155"/>
      <c r="BK106" s="155"/>
      <c r="BL106" s="155"/>
      <c r="BM106" s="155"/>
      <c r="BN106" s="155"/>
      <c r="BO106" s="155"/>
      <c r="BP106" s="155"/>
    </row>
    <row r="107" spans="1:68" s="39" customFormat="1" ht="15.75" thickBot="1" x14ac:dyDescent="0.3">
      <c r="A107" s="174"/>
      <c r="B107" s="177"/>
      <c r="C107" s="189"/>
      <c r="D107" s="145"/>
      <c r="E107" s="149"/>
      <c r="F107" s="153"/>
      <c r="G107" s="153"/>
      <c r="H107" s="153"/>
      <c r="I107" s="153"/>
      <c r="J107" s="170"/>
      <c r="K107" s="170"/>
      <c r="L107" s="170"/>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55"/>
      <c r="AI107" s="155"/>
      <c r="AJ107" s="155"/>
      <c r="AK107" s="155"/>
      <c r="AL107" s="155"/>
      <c r="AM107" s="155"/>
      <c r="AN107" s="155"/>
      <c r="AO107" s="155"/>
      <c r="AP107" s="155"/>
      <c r="AQ107" s="155"/>
      <c r="AR107" s="155"/>
      <c r="AS107" s="155"/>
      <c r="AT107" s="155"/>
      <c r="AU107" s="155"/>
      <c r="AV107" s="155"/>
      <c r="AW107" s="155"/>
      <c r="AX107" s="155"/>
      <c r="AY107" s="155"/>
      <c r="AZ107" s="155"/>
      <c r="BA107" s="155"/>
      <c r="BB107" s="155"/>
      <c r="BC107" s="155"/>
      <c r="BD107" s="155"/>
      <c r="BE107" s="155"/>
      <c r="BF107" s="155"/>
      <c r="BG107" s="155"/>
      <c r="BH107" s="155"/>
      <c r="BI107" s="155"/>
      <c r="BJ107" s="155"/>
      <c r="BK107" s="155"/>
      <c r="BL107" s="155"/>
      <c r="BM107" s="155"/>
      <c r="BN107" s="155"/>
      <c r="BO107" s="155"/>
      <c r="BP107" s="155"/>
    </row>
    <row r="108" spans="1:68" s="39" customFormat="1" ht="15.75" thickBot="1" x14ac:dyDescent="0.3">
      <c r="A108" s="129" t="s">
        <v>206</v>
      </c>
      <c r="B108" s="130">
        <f>(1-B77)*B73</f>
        <v>156400</v>
      </c>
      <c r="C108" s="130">
        <f>(1-C77)*C73</f>
        <v>212500</v>
      </c>
      <c r="D108" s="145"/>
      <c r="E108" s="149"/>
      <c r="F108" s="153"/>
      <c r="G108" s="153"/>
      <c r="H108" s="153"/>
      <c r="I108" s="153"/>
      <c r="J108" s="170"/>
      <c r="K108" s="170"/>
      <c r="L108" s="170"/>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5"/>
      <c r="BC108" s="155"/>
      <c r="BD108" s="155"/>
      <c r="BE108" s="155"/>
      <c r="BF108" s="155"/>
      <c r="BG108" s="155"/>
      <c r="BH108" s="155"/>
      <c r="BI108" s="155"/>
      <c r="BJ108" s="155"/>
      <c r="BK108" s="155"/>
      <c r="BL108" s="155"/>
      <c r="BM108" s="155"/>
      <c r="BN108" s="155"/>
      <c r="BO108" s="155"/>
      <c r="BP108" s="155"/>
    </row>
    <row r="109" spans="1:68" s="39" customFormat="1" ht="15.75" thickBot="1" x14ac:dyDescent="0.3">
      <c r="A109" s="174"/>
      <c r="B109" s="177"/>
      <c r="C109" s="189"/>
      <c r="D109" s="145"/>
      <c r="E109" s="149"/>
      <c r="F109" s="153"/>
      <c r="G109" s="153"/>
      <c r="H109" s="153"/>
      <c r="I109" s="153"/>
      <c r="J109" s="170"/>
      <c r="K109" s="170"/>
      <c r="L109" s="170"/>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c r="BC109" s="155"/>
      <c r="BD109" s="155"/>
      <c r="BE109" s="155"/>
      <c r="BF109" s="155"/>
      <c r="BG109" s="155"/>
      <c r="BH109" s="155"/>
      <c r="BI109" s="155"/>
      <c r="BJ109" s="155"/>
      <c r="BK109" s="155"/>
      <c r="BL109" s="155"/>
      <c r="BM109" s="155"/>
      <c r="BN109" s="155"/>
      <c r="BO109" s="155"/>
      <c r="BP109" s="155"/>
    </row>
    <row r="110" spans="1:68" ht="15.75" thickBot="1" x14ac:dyDescent="0.3">
      <c r="A110" s="128" t="s">
        <v>69</v>
      </c>
      <c r="B110" s="135">
        <f>B75*B73</f>
        <v>1840</v>
      </c>
      <c r="C110" s="135">
        <f>C75*C73</f>
        <v>2500</v>
      </c>
      <c r="D110" s="171"/>
      <c r="E110" s="149"/>
      <c r="F110" s="153"/>
      <c r="G110" s="153"/>
      <c r="H110" s="153"/>
      <c r="I110" s="153"/>
      <c r="J110" s="153"/>
      <c r="K110" s="153"/>
      <c r="L110" s="153"/>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c r="AL110" s="155"/>
      <c r="AM110" s="155"/>
      <c r="AN110" s="155"/>
      <c r="AO110" s="155"/>
      <c r="AP110" s="155"/>
      <c r="AQ110" s="155"/>
      <c r="AR110" s="155"/>
      <c r="AS110" s="155"/>
      <c r="AT110" s="155"/>
      <c r="AU110" s="155"/>
      <c r="AV110" s="155"/>
      <c r="AW110" s="155"/>
      <c r="AX110" s="155"/>
      <c r="AY110" s="155"/>
      <c r="AZ110" s="155"/>
      <c r="BA110" s="155"/>
      <c r="BB110" s="155"/>
      <c r="BC110" s="155"/>
      <c r="BD110" s="155"/>
      <c r="BE110" s="155"/>
      <c r="BF110" s="155"/>
      <c r="BG110" s="155"/>
      <c r="BH110" s="155"/>
      <c r="BI110" s="155"/>
      <c r="BJ110" s="155"/>
      <c r="BK110" s="155"/>
      <c r="BL110" s="155"/>
      <c r="BM110" s="155"/>
      <c r="BN110" s="155"/>
      <c r="BO110" s="155"/>
      <c r="BP110" s="155"/>
    </row>
    <row r="111" spans="1:68" ht="15.75" thickBot="1" x14ac:dyDescent="0.3">
      <c r="A111" s="174"/>
      <c r="B111" s="184"/>
      <c r="C111" s="191"/>
      <c r="D111" s="145"/>
      <c r="E111" s="149"/>
      <c r="F111" s="153"/>
      <c r="G111" s="153"/>
      <c r="H111" s="153"/>
      <c r="I111" s="153"/>
      <c r="J111" s="170"/>
      <c r="K111" s="170"/>
      <c r="L111" s="170"/>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row>
    <row r="112" spans="1:68" ht="15.75" thickBot="1" x14ac:dyDescent="0.3">
      <c r="A112" s="128" t="s">
        <v>249</v>
      </c>
      <c r="B112" s="135">
        <f>B108+(B21*B110)</f>
        <v>193200</v>
      </c>
      <c r="C112" s="135">
        <f>C108+(C21*C110)</f>
        <v>262500</v>
      </c>
      <c r="D112" s="149"/>
      <c r="E112" s="149"/>
      <c r="F112" s="170"/>
      <c r="G112" s="170"/>
      <c r="H112" s="170"/>
      <c r="I112" s="170"/>
      <c r="J112" s="170"/>
      <c r="K112" s="170"/>
      <c r="L112" s="170"/>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B112" s="155"/>
      <c r="BC112" s="155"/>
      <c r="BD112" s="155"/>
      <c r="BE112" s="155"/>
      <c r="BF112" s="155"/>
      <c r="BG112" s="155"/>
      <c r="BH112" s="155"/>
      <c r="BI112" s="155"/>
      <c r="BJ112" s="155"/>
      <c r="BK112" s="155"/>
      <c r="BL112" s="155"/>
      <c r="BM112" s="155"/>
      <c r="BN112" s="155"/>
      <c r="BO112" s="155"/>
      <c r="BP112" s="155"/>
    </row>
    <row r="113" spans="1:68" s="39" customFormat="1" ht="15.75" thickBot="1" x14ac:dyDescent="0.3">
      <c r="A113" s="176"/>
      <c r="B113" s="182"/>
      <c r="C113" s="200"/>
      <c r="D113" s="149"/>
      <c r="E113" s="149"/>
      <c r="F113" s="170"/>
      <c r="G113" s="170"/>
      <c r="H113" s="170"/>
      <c r="I113" s="170"/>
      <c r="J113" s="170"/>
      <c r="K113" s="170"/>
      <c r="L113" s="170"/>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c r="BC113" s="155"/>
      <c r="BD113" s="155"/>
      <c r="BE113" s="155"/>
      <c r="BF113" s="155"/>
      <c r="BG113" s="155"/>
      <c r="BH113" s="155"/>
      <c r="BI113" s="155"/>
      <c r="BJ113" s="155"/>
      <c r="BK113" s="155"/>
      <c r="BL113" s="155"/>
      <c r="BM113" s="155"/>
      <c r="BN113" s="155"/>
      <c r="BO113" s="155"/>
      <c r="BP113" s="155"/>
    </row>
    <row r="114" spans="1:68" s="39" customFormat="1" ht="19.5" thickBot="1" x14ac:dyDescent="0.35">
      <c r="A114" s="233" t="s">
        <v>240</v>
      </c>
      <c r="B114" s="208" t="str">
        <f>B19</f>
        <v xml:space="preserve">Ventilation system with heat recovery </v>
      </c>
      <c r="C114" s="208" t="str">
        <f>C19</f>
        <v>Geothermal heat pump system</v>
      </c>
      <c r="D114" s="149"/>
      <c r="E114" s="149"/>
      <c r="F114" s="170"/>
      <c r="G114" s="170"/>
      <c r="H114" s="170"/>
      <c r="I114" s="170"/>
      <c r="J114" s="170"/>
      <c r="K114" s="170"/>
      <c r="L114" s="170"/>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c r="BC114" s="155"/>
      <c r="BD114" s="155"/>
      <c r="BE114" s="155"/>
      <c r="BF114" s="155"/>
      <c r="BG114" s="155"/>
      <c r="BH114" s="155"/>
      <c r="BI114" s="155"/>
      <c r="BJ114" s="155"/>
      <c r="BK114" s="155"/>
      <c r="BL114" s="155"/>
      <c r="BM114" s="155"/>
      <c r="BN114" s="155"/>
      <c r="BO114" s="155"/>
      <c r="BP114" s="155"/>
    </row>
    <row r="115" spans="1:68" ht="19.5" thickBot="1" x14ac:dyDescent="0.35">
      <c r="A115" s="202"/>
      <c r="B115" s="177"/>
      <c r="C115" s="189"/>
      <c r="D115" s="145"/>
      <c r="E115" s="149"/>
      <c r="F115" s="153"/>
      <c r="G115" s="153"/>
      <c r="H115" s="153"/>
      <c r="I115" s="153"/>
      <c r="J115" s="170"/>
      <c r="K115" s="170"/>
      <c r="L115" s="170"/>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c r="BC115" s="155"/>
      <c r="BD115" s="155"/>
      <c r="BE115" s="155"/>
      <c r="BF115" s="155"/>
      <c r="BG115" s="155"/>
      <c r="BH115" s="155"/>
      <c r="BI115" s="155"/>
      <c r="BJ115" s="155"/>
      <c r="BK115" s="155"/>
      <c r="BL115" s="155"/>
      <c r="BM115" s="155"/>
      <c r="BN115" s="155"/>
      <c r="BO115" s="155"/>
      <c r="BP115" s="155"/>
    </row>
    <row r="116" spans="1:68" s="39" customFormat="1" ht="15.75" thickBot="1" x14ac:dyDescent="0.3">
      <c r="A116" s="128" t="s">
        <v>17</v>
      </c>
      <c r="B116" s="135">
        <f>B103-B112</f>
        <v>36000</v>
      </c>
      <c r="C116" s="135">
        <f>C103-C112</f>
        <v>229500</v>
      </c>
      <c r="D116" s="145"/>
      <c r="E116" s="149"/>
      <c r="F116" s="153"/>
      <c r="G116" s="153"/>
      <c r="H116" s="153"/>
      <c r="I116" s="153"/>
      <c r="J116" s="170"/>
      <c r="K116" s="170"/>
      <c r="L116" s="170"/>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155"/>
      <c r="AV116" s="155"/>
      <c r="AW116" s="155"/>
      <c r="AX116" s="155"/>
      <c r="AY116" s="155"/>
      <c r="AZ116" s="155"/>
      <c r="BA116" s="155"/>
      <c r="BB116" s="155"/>
      <c r="BC116" s="155"/>
      <c r="BD116" s="155"/>
      <c r="BE116" s="155"/>
      <c r="BF116" s="155"/>
      <c r="BG116" s="155"/>
      <c r="BH116" s="155"/>
      <c r="BI116" s="155"/>
      <c r="BJ116" s="155"/>
      <c r="BK116" s="155"/>
      <c r="BL116" s="155"/>
      <c r="BM116" s="155"/>
      <c r="BN116" s="155"/>
      <c r="BO116" s="155"/>
      <c r="BP116" s="155"/>
    </row>
    <row r="117" spans="1:68" x14ac:dyDescent="0.25">
      <c r="A117" s="176"/>
      <c r="B117" s="182"/>
      <c r="C117" s="200"/>
      <c r="D117" s="145"/>
      <c r="E117" s="149"/>
      <c r="F117" s="153"/>
      <c r="G117" s="153"/>
      <c r="H117" s="153"/>
      <c r="I117" s="153"/>
      <c r="J117" s="170"/>
      <c r="K117" s="170"/>
      <c r="L117" s="170"/>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row>
    <row r="118" spans="1:68" s="39" customFormat="1" ht="15.75" thickBot="1" x14ac:dyDescent="0.3">
      <c r="A118" s="174"/>
      <c r="B118" s="146"/>
      <c r="C118" s="175"/>
      <c r="D118" s="145"/>
      <c r="E118" s="149"/>
      <c r="F118" s="153"/>
      <c r="G118" s="153"/>
      <c r="H118" s="153"/>
      <c r="I118" s="153"/>
      <c r="J118" s="170"/>
      <c r="K118" s="170"/>
      <c r="L118" s="170"/>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155"/>
      <c r="AW118" s="155"/>
      <c r="AX118" s="155"/>
      <c r="AY118" s="155"/>
      <c r="AZ118" s="155"/>
      <c r="BA118" s="155"/>
      <c r="BB118" s="155"/>
      <c r="BC118" s="155"/>
      <c r="BD118" s="155"/>
      <c r="BE118" s="155"/>
      <c r="BF118" s="155"/>
      <c r="BG118" s="155"/>
      <c r="BH118" s="155"/>
      <c r="BI118" s="155"/>
      <c r="BJ118" s="155"/>
      <c r="BK118" s="155"/>
      <c r="BL118" s="155"/>
      <c r="BM118" s="155"/>
      <c r="BN118" s="155"/>
      <c r="BO118" s="155"/>
      <c r="BP118" s="155"/>
    </row>
    <row r="119" spans="1:68" ht="19.5" thickBot="1" x14ac:dyDescent="0.35">
      <c r="A119" s="233" t="s">
        <v>238</v>
      </c>
      <c r="B119" s="239" t="str">
        <f>B19</f>
        <v xml:space="preserve">Ventilation system with heat recovery </v>
      </c>
      <c r="C119" s="239" t="str">
        <f>C19</f>
        <v>Geothermal heat pump system</v>
      </c>
      <c r="D119" s="149"/>
      <c r="E119" s="149"/>
      <c r="F119" s="170"/>
      <c r="G119" s="170"/>
      <c r="H119" s="170"/>
      <c r="I119" s="170"/>
      <c r="J119" s="170"/>
      <c r="K119" s="170"/>
      <c r="L119" s="170"/>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5"/>
      <c r="AZ119" s="155"/>
      <c r="BA119" s="155"/>
      <c r="BB119" s="155"/>
      <c r="BC119" s="155"/>
      <c r="BD119" s="155"/>
      <c r="BE119" s="155"/>
      <c r="BF119" s="155"/>
      <c r="BG119" s="155"/>
      <c r="BH119" s="155"/>
      <c r="BI119" s="155"/>
      <c r="BJ119" s="155"/>
      <c r="BK119" s="155"/>
      <c r="BL119" s="155"/>
      <c r="BM119" s="155"/>
      <c r="BN119" s="155"/>
      <c r="BO119" s="155"/>
      <c r="BP119" s="155"/>
    </row>
    <row r="120" spans="1:68" s="39" customFormat="1" ht="15.75" thickBot="1" x14ac:dyDescent="0.3">
      <c r="A120" s="114"/>
      <c r="B120" s="184"/>
      <c r="C120" s="191"/>
      <c r="D120" s="149"/>
      <c r="E120" s="149"/>
      <c r="F120" s="170"/>
      <c r="G120" s="170"/>
      <c r="H120" s="170"/>
      <c r="I120" s="170"/>
      <c r="J120" s="170"/>
      <c r="K120" s="170"/>
      <c r="L120" s="170"/>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5"/>
      <c r="AK120" s="155"/>
      <c r="AL120" s="155"/>
      <c r="AM120" s="155"/>
      <c r="AN120" s="155"/>
      <c r="AO120" s="155"/>
      <c r="AP120" s="155"/>
      <c r="AQ120" s="155"/>
      <c r="AR120" s="155"/>
      <c r="AS120" s="155"/>
      <c r="AT120" s="155"/>
      <c r="AU120" s="155"/>
      <c r="AV120" s="155"/>
      <c r="AW120" s="155"/>
      <c r="AX120" s="155"/>
      <c r="AY120" s="155"/>
      <c r="AZ120" s="155"/>
      <c r="BA120" s="155"/>
      <c r="BB120" s="155"/>
      <c r="BC120" s="155"/>
      <c r="BD120" s="155"/>
      <c r="BE120" s="155"/>
      <c r="BF120" s="155"/>
      <c r="BG120" s="155"/>
      <c r="BH120" s="155"/>
      <c r="BI120" s="155"/>
      <c r="BJ120" s="155"/>
      <c r="BK120" s="155"/>
      <c r="BL120" s="155"/>
      <c r="BM120" s="155"/>
      <c r="BN120" s="155"/>
      <c r="BO120" s="155"/>
      <c r="BP120" s="155"/>
    </row>
    <row r="121" spans="1:68" s="39" customFormat="1" ht="15.75" thickBot="1" x14ac:dyDescent="0.3">
      <c r="A121" s="128" t="s">
        <v>207</v>
      </c>
      <c r="B121" s="135">
        <f>-((B40*B42)+(B28*B30)+(B52*B54))</f>
        <v>20400</v>
      </c>
      <c r="C121" s="135">
        <f>-((C40*C42)+(C28*C30)+(C52*C54))</f>
        <v>46000</v>
      </c>
      <c r="D121" s="149"/>
      <c r="E121" s="149"/>
      <c r="F121" s="170"/>
      <c r="G121" s="170"/>
      <c r="H121" s="170"/>
      <c r="I121" s="170"/>
      <c r="J121" s="170"/>
      <c r="K121" s="170"/>
      <c r="L121" s="170"/>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5"/>
      <c r="AM121" s="155"/>
      <c r="AN121" s="155"/>
      <c r="AO121" s="155"/>
      <c r="AP121" s="155"/>
      <c r="AQ121" s="155"/>
      <c r="AR121" s="155"/>
      <c r="AS121" s="155"/>
      <c r="AT121" s="155"/>
      <c r="AU121" s="155"/>
      <c r="AV121" s="155"/>
      <c r="AW121" s="155"/>
      <c r="AX121" s="155"/>
      <c r="AY121" s="155"/>
      <c r="AZ121" s="155"/>
      <c r="BA121" s="155"/>
      <c r="BB121" s="155"/>
      <c r="BC121" s="155"/>
      <c r="BD121" s="155"/>
      <c r="BE121" s="155"/>
      <c r="BF121" s="155"/>
      <c r="BG121" s="155"/>
      <c r="BH121" s="155"/>
      <c r="BI121" s="155"/>
      <c r="BJ121" s="155"/>
      <c r="BK121" s="155"/>
      <c r="BL121" s="155"/>
      <c r="BM121" s="155"/>
      <c r="BN121" s="155"/>
      <c r="BO121" s="155"/>
      <c r="BP121" s="155"/>
    </row>
    <row r="122" spans="1:68" s="39" customFormat="1" ht="15.75" thickBot="1" x14ac:dyDescent="0.3">
      <c r="A122" s="219"/>
      <c r="B122" s="217"/>
      <c r="C122" s="218"/>
      <c r="D122" s="149"/>
      <c r="E122" s="149"/>
      <c r="F122" s="170"/>
      <c r="G122" s="170"/>
      <c r="H122" s="170"/>
      <c r="I122" s="170"/>
      <c r="J122" s="170"/>
      <c r="K122" s="170"/>
      <c r="L122" s="170"/>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155"/>
      <c r="AT122" s="155"/>
      <c r="AU122" s="155"/>
      <c r="AV122" s="155"/>
      <c r="AW122" s="155"/>
      <c r="AX122" s="155"/>
      <c r="AY122" s="155"/>
      <c r="AZ122" s="155"/>
      <c r="BA122" s="155"/>
      <c r="BB122" s="155"/>
      <c r="BC122" s="155"/>
      <c r="BD122" s="155"/>
      <c r="BE122" s="155"/>
      <c r="BF122" s="155"/>
      <c r="BG122" s="155"/>
      <c r="BH122" s="155"/>
      <c r="BI122" s="155"/>
      <c r="BJ122" s="155"/>
      <c r="BK122" s="155"/>
      <c r="BL122" s="155"/>
      <c r="BM122" s="155"/>
      <c r="BN122" s="155"/>
      <c r="BO122" s="155"/>
      <c r="BP122" s="155"/>
    </row>
    <row r="123" spans="1:68" s="39" customFormat="1" ht="15.75" thickBot="1" x14ac:dyDescent="0.3">
      <c r="A123" s="128" t="s">
        <v>273</v>
      </c>
      <c r="B123" s="295">
        <f>-((B28*B30)+(B40*B42)+(B52*B54))/((B13*B30)+(B14*B42)+(B15*B54))</f>
        <v>0.15692307692307692</v>
      </c>
      <c r="C123" s="295">
        <f>-((C28*C30)+(C40*C42)+(C52*C54))/((B13*C30)+(B14*C42)+(B15*C54))</f>
        <v>0.35384615384615387</v>
      </c>
      <c r="D123" s="149"/>
      <c r="E123" s="149"/>
      <c r="F123" s="170"/>
      <c r="G123" s="170"/>
      <c r="H123" s="170"/>
      <c r="I123" s="170"/>
      <c r="J123" s="170"/>
      <c r="K123" s="170"/>
      <c r="L123" s="170"/>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55"/>
      <c r="BE123" s="155"/>
      <c r="BF123" s="155"/>
      <c r="BG123" s="155"/>
      <c r="BH123" s="155"/>
      <c r="BI123" s="155"/>
      <c r="BJ123" s="155"/>
      <c r="BK123" s="155"/>
      <c r="BL123" s="155"/>
      <c r="BM123" s="155"/>
      <c r="BN123" s="155"/>
      <c r="BO123" s="155"/>
      <c r="BP123" s="155"/>
    </row>
    <row r="124" spans="1:68" s="39" customFormat="1" ht="15.75" thickBot="1" x14ac:dyDescent="0.3">
      <c r="A124" s="174"/>
      <c r="B124" s="184"/>
      <c r="C124" s="175"/>
      <c r="D124" s="149"/>
      <c r="E124" s="149"/>
      <c r="F124" s="170"/>
      <c r="G124" s="170"/>
      <c r="H124" s="170"/>
      <c r="I124" s="170"/>
      <c r="J124" s="170"/>
      <c r="K124" s="170"/>
      <c r="L124" s="170"/>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5"/>
      <c r="AK124" s="155"/>
      <c r="AL124" s="155"/>
      <c r="AM124" s="155"/>
      <c r="AN124" s="155"/>
      <c r="AO124" s="155"/>
      <c r="AP124" s="155"/>
      <c r="AQ124" s="155"/>
      <c r="AR124" s="155"/>
      <c r="AS124" s="155"/>
      <c r="AT124" s="155"/>
      <c r="AU124" s="155"/>
      <c r="AV124" s="155"/>
      <c r="AW124" s="155"/>
      <c r="AX124" s="155"/>
      <c r="AY124" s="155"/>
      <c r="AZ124" s="155"/>
      <c r="BA124" s="155"/>
      <c r="BB124" s="155"/>
      <c r="BC124" s="155"/>
      <c r="BD124" s="155"/>
      <c r="BE124" s="155"/>
      <c r="BF124" s="155"/>
      <c r="BG124" s="155"/>
      <c r="BH124" s="155"/>
      <c r="BI124" s="155"/>
      <c r="BJ124" s="155"/>
      <c r="BK124" s="155"/>
      <c r="BL124" s="155"/>
      <c r="BM124" s="155"/>
      <c r="BN124" s="155"/>
      <c r="BO124" s="155"/>
      <c r="BP124" s="155"/>
    </row>
    <row r="125" spans="1:68" s="39" customFormat="1" ht="15.75" thickBot="1" x14ac:dyDescent="0.3">
      <c r="A125" s="128" t="s">
        <v>250</v>
      </c>
      <c r="B125" s="135">
        <f>B21*B121</f>
        <v>408000</v>
      </c>
      <c r="C125" s="135">
        <f>C21*C121</f>
        <v>920000</v>
      </c>
      <c r="D125" s="149"/>
      <c r="E125" s="149"/>
      <c r="F125" s="170"/>
      <c r="G125" s="170"/>
      <c r="H125" s="170"/>
      <c r="I125" s="170"/>
      <c r="J125" s="170"/>
      <c r="K125" s="170"/>
      <c r="L125" s="170"/>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c r="AJ125" s="155"/>
      <c r="AK125" s="155"/>
      <c r="AL125" s="155"/>
      <c r="AM125" s="155"/>
      <c r="AN125" s="155"/>
      <c r="AO125" s="155"/>
      <c r="AP125" s="155"/>
      <c r="AQ125" s="155"/>
      <c r="AR125" s="155"/>
      <c r="AS125" s="155"/>
      <c r="AT125" s="155"/>
      <c r="AU125" s="155"/>
      <c r="AV125" s="155"/>
      <c r="AW125" s="155"/>
      <c r="AX125" s="155"/>
      <c r="AY125" s="155"/>
      <c r="AZ125" s="155"/>
      <c r="BA125" s="155"/>
      <c r="BB125" s="155"/>
      <c r="BC125" s="155"/>
      <c r="BD125" s="155"/>
      <c r="BE125" s="155"/>
      <c r="BF125" s="155"/>
      <c r="BG125" s="155"/>
      <c r="BH125" s="155"/>
      <c r="BI125" s="155"/>
      <c r="BJ125" s="155"/>
      <c r="BK125" s="155"/>
      <c r="BL125" s="155"/>
      <c r="BM125" s="155"/>
      <c r="BN125" s="155"/>
      <c r="BO125" s="155"/>
      <c r="BP125" s="155"/>
    </row>
    <row r="126" spans="1:68" s="39" customFormat="1" ht="15.75" thickBot="1" x14ac:dyDescent="0.3">
      <c r="A126" s="176"/>
      <c r="B126" s="182"/>
      <c r="C126" s="200"/>
      <c r="D126" s="149"/>
      <c r="E126" s="149"/>
      <c r="F126" s="170"/>
      <c r="G126" s="170"/>
      <c r="H126" s="170"/>
      <c r="I126" s="170"/>
      <c r="J126" s="170"/>
      <c r="K126" s="170"/>
      <c r="L126" s="170"/>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155"/>
      <c r="BJ126" s="155"/>
      <c r="BK126" s="155"/>
      <c r="BL126" s="155"/>
      <c r="BM126" s="155"/>
      <c r="BN126" s="155"/>
      <c r="BO126" s="155"/>
      <c r="BP126" s="155"/>
    </row>
    <row r="127" spans="1:68" s="39" customFormat="1" ht="15.75" thickBot="1" x14ac:dyDescent="0.3">
      <c r="A127" s="300" t="s">
        <v>303</v>
      </c>
      <c r="B127" s="299">
        <f>(1-B123)*B16</f>
        <v>109600</v>
      </c>
      <c r="C127" s="298">
        <f>(1-C123)*B16</f>
        <v>83999.999999999985</v>
      </c>
      <c r="D127" s="149"/>
      <c r="E127" s="149"/>
      <c r="F127" s="170"/>
      <c r="G127" s="170"/>
      <c r="H127" s="170"/>
      <c r="I127" s="170"/>
      <c r="J127" s="170"/>
      <c r="K127" s="170"/>
      <c r="L127" s="170"/>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row>
    <row r="128" spans="1:68" s="39" customFormat="1" ht="15.75" thickBot="1" x14ac:dyDescent="0.3">
      <c r="D128" s="149"/>
      <c r="E128" s="149"/>
      <c r="F128" s="170"/>
      <c r="G128" s="170"/>
      <c r="H128" s="170"/>
      <c r="I128" s="170"/>
      <c r="J128" s="170"/>
      <c r="K128" s="170"/>
      <c r="L128" s="170"/>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row>
    <row r="129" spans="1:68" s="39" customFormat="1" ht="19.5" thickBot="1" x14ac:dyDescent="0.35">
      <c r="A129" s="233" t="s">
        <v>239</v>
      </c>
      <c r="B129" s="240" t="str">
        <f>B19</f>
        <v xml:space="preserve">Ventilation system with heat recovery </v>
      </c>
      <c r="C129" s="239" t="str">
        <f>C19</f>
        <v>Geothermal heat pump system</v>
      </c>
      <c r="D129" s="149"/>
      <c r="E129" s="149"/>
      <c r="F129" s="170"/>
      <c r="G129" s="170"/>
      <c r="H129" s="170"/>
      <c r="I129" s="170"/>
      <c r="J129" s="170"/>
      <c r="K129" s="170"/>
      <c r="L129" s="170"/>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row>
    <row r="130" spans="1:68" s="39" customFormat="1" ht="15.75" thickBot="1" x14ac:dyDescent="0.3">
      <c r="A130" s="176"/>
      <c r="B130" s="183"/>
      <c r="C130" s="191"/>
      <c r="D130" s="149"/>
      <c r="E130" s="149"/>
      <c r="F130" s="170"/>
      <c r="G130" s="170"/>
      <c r="H130" s="170"/>
      <c r="I130" s="170"/>
      <c r="J130" s="170"/>
      <c r="K130" s="170"/>
      <c r="L130" s="170"/>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5"/>
      <c r="BM130" s="155"/>
      <c r="BN130" s="155"/>
      <c r="BO130" s="155"/>
      <c r="BP130" s="155"/>
    </row>
    <row r="131" spans="1:68" s="39" customFormat="1" ht="15.75" thickBot="1" x14ac:dyDescent="0.3">
      <c r="A131" s="128" t="s">
        <v>252</v>
      </c>
      <c r="B131" s="135">
        <f>-B85*B87</f>
        <v>8200</v>
      </c>
      <c r="C131" s="135">
        <f>C85*C87</f>
        <v>0</v>
      </c>
      <c r="D131" s="149"/>
      <c r="E131" s="149"/>
      <c r="F131" s="170"/>
      <c r="G131" s="170"/>
      <c r="H131" s="170"/>
      <c r="I131" s="170"/>
      <c r="J131" s="170"/>
      <c r="K131" s="170"/>
      <c r="L131" s="170"/>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5"/>
      <c r="BM131" s="155"/>
      <c r="BN131" s="155"/>
      <c r="BO131" s="155"/>
      <c r="BP131" s="155"/>
    </row>
    <row r="132" spans="1:68" ht="15.75" thickBot="1" x14ac:dyDescent="0.3">
      <c r="A132" s="114"/>
      <c r="B132" s="185"/>
      <c r="C132" s="203"/>
      <c r="D132" s="171"/>
      <c r="E132" s="149"/>
      <c r="F132" s="153"/>
      <c r="G132" s="153"/>
      <c r="H132" s="153"/>
      <c r="I132" s="153"/>
      <c r="J132" s="153"/>
      <c r="K132" s="153"/>
      <c r="L132" s="153"/>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5"/>
      <c r="BM132" s="155"/>
      <c r="BN132" s="155"/>
      <c r="BO132" s="155"/>
      <c r="BP132" s="155"/>
    </row>
    <row r="133" spans="1:68" ht="15.75" thickBot="1" x14ac:dyDescent="0.3">
      <c r="A133" s="128" t="s">
        <v>137</v>
      </c>
      <c r="B133" s="139">
        <f>(B73-(B73*B77))/(B99+B101+B131)</f>
        <v>7.9552390640895219</v>
      </c>
      <c r="C133" s="139">
        <f>(C73-(C73*C77))/(C99+C101+C131)</f>
        <v>8.6382113821138216</v>
      </c>
      <c r="D133" s="149"/>
      <c r="E133" s="149"/>
      <c r="F133" s="170"/>
      <c r="G133" s="170"/>
      <c r="H133" s="170"/>
      <c r="I133" s="170"/>
      <c r="J133" s="170"/>
      <c r="K133" s="170"/>
      <c r="L133" s="170"/>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row>
    <row r="134" spans="1:68" x14ac:dyDescent="0.25">
      <c r="A134" s="114" t="s">
        <v>100</v>
      </c>
      <c r="B134" s="184"/>
      <c r="C134" s="191"/>
      <c r="D134" s="171"/>
      <c r="E134" s="149"/>
      <c r="F134" s="158"/>
      <c r="G134" s="158"/>
      <c r="H134" s="158"/>
      <c r="I134" s="158"/>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5"/>
      <c r="BM134" s="155"/>
      <c r="BN134" s="155"/>
      <c r="BO134" s="155"/>
      <c r="BP134" s="155"/>
    </row>
    <row r="135" spans="1:68" s="39" customFormat="1" x14ac:dyDescent="0.25">
      <c r="A135" s="174"/>
      <c r="B135" s="184"/>
      <c r="C135" s="191"/>
      <c r="D135" s="171"/>
      <c r="E135" s="149"/>
      <c r="F135" s="158"/>
      <c r="G135" s="158"/>
      <c r="H135" s="158"/>
      <c r="I135" s="158"/>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row>
    <row r="136" spans="1:68" s="39" customFormat="1" ht="15.75" thickBot="1" x14ac:dyDescent="0.3">
      <c r="A136" s="176"/>
      <c r="B136" s="182"/>
      <c r="C136" s="200"/>
      <c r="D136" s="145"/>
      <c r="E136" s="149"/>
      <c r="F136" s="158"/>
      <c r="G136" s="158"/>
      <c r="H136" s="158"/>
      <c r="I136" s="158"/>
      <c r="J136" s="155"/>
      <c r="K136" s="155"/>
      <c r="L136" s="155"/>
      <c r="M136" s="163"/>
      <c r="N136" s="163"/>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5"/>
      <c r="BM136" s="155"/>
      <c r="BN136" s="155"/>
      <c r="BO136" s="155"/>
      <c r="BP136" s="155"/>
    </row>
    <row r="137" spans="1:68" s="39" customFormat="1" ht="19.5" thickBot="1" x14ac:dyDescent="0.35">
      <c r="A137" s="233" t="s">
        <v>251</v>
      </c>
      <c r="B137" s="241" t="str">
        <f>B19</f>
        <v xml:space="preserve">Ventilation system with heat recovery </v>
      </c>
      <c r="C137" s="241" t="str">
        <f>C19</f>
        <v>Geothermal heat pump system</v>
      </c>
      <c r="D137" s="145"/>
      <c r="E137" s="149"/>
      <c r="F137" s="158"/>
      <c r="G137" s="158"/>
      <c r="H137" s="158"/>
      <c r="I137" s="158"/>
      <c r="J137" s="155"/>
      <c r="K137" s="155"/>
      <c r="L137" s="155"/>
      <c r="M137" s="163"/>
      <c r="N137" s="163"/>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5"/>
      <c r="BM137" s="155"/>
      <c r="BN137" s="155"/>
      <c r="BO137" s="155"/>
      <c r="BP137" s="155"/>
    </row>
    <row r="138" spans="1:68" s="39" customFormat="1" ht="19.5" thickBot="1" x14ac:dyDescent="0.35">
      <c r="A138" s="202"/>
      <c r="B138" s="182"/>
      <c r="C138" s="200"/>
      <c r="D138" s="145"/>
      <c r="E138" s="149"/>
      <c r="F138" s="158"/>
      <c r="G138" s="158"/>
      <c r="H138" s="158"/>
      <c r="I138" s="158"/>
      <c r="J138" s="155"/>
      <c r="K138" s="155"/>
      <c r="L138" s="155"/>
      <c r="M138" s="163"/>
      <c r="N138" s="163"/>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5"/>
      <c r="BM138" s="155"/>
      <c r="BN138" s="155"/>
      <c r="BO138" s="155"/>
      <c r="BP138" s="155"/>
    </row>
    <row r="139" spans="1:68" s="39" customFormat="1" ht="15.75" thickBot="1" x14ac:dyDescent="0.3">
      <c r="A139" s="128" t="s">
        <v>135</v>
      </c>
      <c r="B139" s="138">
        <f>(B73-(B73*B77))/(B99+B101)</f>
        <v>13.647469458987784</v>
      </c>
      <c r="C139" s="139">
        <f>(C73-(C73*C77))/(C99+C101)</f>
        <v>8.6382113821138216</v>
      </c>
      <c r="D139" s="145"/>
      <c r="E139" s="149"/>
      <c r="F139" s="158"/>
      <c r="G139" s="158"/>
      <c r="H139" s="158"/>
      <c r="I139" s="158"/>
      <c r="J139" s="155"/>
      <c r="K139" s="155"/>
      <c r="L139" s="155"/>
      <c r="M139" s="163"/>
      <c r="N139" s="163"/>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5"/>
      <c r="BM139" s="155"/>
      <c r="BN139" s="155"/>
      <c r="BO139" s="155"/>
      <c r="BP139" s="155"/>
    </row>
    <row r="140" spans="1:68" s="39" customFormat="1" x14ac:dyDescent="0.25">
      <c r="A140" s="176"/>
      <c r="B140" s="183"/>
      <c r="C140" s="191"/>
      <c r="D140" s="145"/>
      <c r="E140" s="149"/>
      <c r="F140" s="158"/>
      <c r="G140" s="158"/>
      <c r="H140" s="158"/>
      <c r="I140" s="158"/>
      <c r="J140" s="155"/>
      <c r="K140" s="155"/>
      <c r="L140" s="155"/>
      <c r="M140" s="163"/>
      <c r="N140" s="163"/>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c r="BC140" s="155"/>
      <c r="BD140" s="155"/>
      <c r="BE140" s="155"/>
      <c r="BF140" s="155"/>
      <c r="BG140" s="155"/>
      <c r="BH140" s="155"/>
      <c r="BI140" s="155"/>
      <c r="BJ140" s="155"/>
      <c r="BK140" s="155"/>
      <c r="BL140" s="155"/>
      <c r="BM140" s="155"/>
      <c r="BN140" s="155"/>
      <c r="BO140" s="155"/>
      <c r="BP140" s="155"/>
    </row>
    <row r="141" spans="1:68" ht="15.75" thickBot="1" x14ac:dyDescent="0.3">
      <c r="A141" s="174"/>
      <c r="B141" s="146"/>
      <c r="C141" s="175"/>
      <c r="D141" s="145"/>
      <c r="E141" s="149"/>
      <c r="F141" s="158"/>
      <c r="G141" s="158"/>
      <c r="H141" s="158"/>
      <c r="I141" s="158"/>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c r="BC141" s="155"/>
      <c r="BD141" s="155"/>
      <c r="BE141" s="155"/>
      <c r="BF141" s="155"/>
      <c r="BG141" s="155"/>
      <c r="BH141" s="155"/>
      <c r="BI141" s="155"/>
      <c r="BJ141" s="155"/>
      <c r="BK141" s="155"/>
      <c r="BL141" s="155"/>
      <c r="BM141" s="155"/>
      <c r="BN141" s="155"/>
      <c r="BO141" s="155"/>
      <c r="BP141" s="155"/>
    </row>
    <row r="142" spans="1:68" ht="15.75" thickBot="1" x14ac:dyDescent="0.3">
      <c r="A142" s="128" t="s">
        <v>79</v>
      </c>
      <c r="B142" s="140">
        <f>IRR('4. Cash flow '!L12:L62,0.1)</f>
        <v>2.0595869001658551E-2</v>
      </c>
      <c r="C142" s="140">
        <f>IRR('4. Cash flow '!M12:M62,0.1)</f>
        <v>8.2821441100461524E-2</v>
      </c>
      <c r="D142" s="145"/>
      <c r="E142" s="145"/>
      <c r="F142" s="158"/>
      <c r="G142" s="158"/>
      <c r="H142" s="158"/>
      <c r="I142" s="158"/>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5"/>
      <c r="BJ142" s="155"/>
      <c r="BK142" s="155"/>
      <c r="BL142" s="155"/>
      <c r="BM142" s="155"/>
      <c r="BN142" s="155"/>
      <c r="BO142" s="155"/>
      <c r="BP142" s="155"/>
    </row>
    <row r="143" spans="1:68" s="39" customFormat="1" ht="15.75" thickBot="1" x14ac:dyDescent="0.3">
      <c r="A143" s="176"/>
      <c r="B143" s="185"/>
      <c r="C143" s="203"/>
      <c r="D143" s="145"/>
      <c r="E143" s="145"/>
      <c r="F143" s="158"/>
      <c r="G143" s="158"/>
      <c r="H143" s="158"/>
      <c r="I143" s="158"/>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5"/>
      <c r="AK143" s="155"/>
      <c r="AL143" s="155"/>
      <c r="AM143" s="155"/>
      <c r="AN143" s="155"/>
      <c r="AO143" s="155"/>
      <c r="AP143" s="155"/>
      <c r="AQ143" s="155"/>
      <c r="AR143" s="155"/>
      <c r="AS143" s="155"/>
      <c r="AT143" s="155"/>
      <c r="AU143" s="155"/>
      <c r="AV143" s="155"/>
      <c r="AW143" s="155"/>
      <c r="AX143" s="155"/>
      <c r="AY143" s="155"/>
      <c r="AZ143" s="155"/>
      <c r="BA143" s="155"/>
      <c r="BB143" s="155"/>
      <c r="BC143" s="155"/>
      <c r="BD143" s="155"/>
      <c r="BE143" s="155"/>
      <c r="BF143" s="155"/>
      <c r="BG143" s="155"/>
      <c r="BH143" s="155"/>
      <c r="BI143" s="155"/>
      <c r="BJ143" s="155"/>
      <c r="BK143" s="155"/>
      <c r="BL143" s="155"/>
      <c r="BM143" s="155"/>
      <c r="BN143" s="155"/>
      <c r="BO143" s="155"/>
      <c r="BP143" s="155"/>
    </row>
    <row r="144" spans="1:68" s="39" customFormat="1" ht="15.75" thickBot="1" x14ac:dyDescent="0.3">
      <c r="A144" s="128" t="s">
        <v>210</v>
      </c>
      <c r="B144" s="140">
        <f>IRR('4. Cash flow '!N12:N62,0.1)</f>
        <v>5.241857488367585E-2</v>
      </c>
      <c r="C144" s="140">
        <f>IRR('4. Cash flow '!O12:O62,0.1)</f>
        <v>0.11393959973099732</v>
      </c>
      <c r="D144" s="145"/>
      <c r="E144" s="145"/>
      <c r="F144" s="158"/>
      <c r="G144" s="158"/>
      <c r="H144" s="158"/>
      <c r="I144" s="158"/>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c r="BC144" s="155"/>
      <c r="BD144" s="155"/>
      <c r="BE144" s="155"/>
      <c r="BF144" s="155"/>
      <c r="BG144" s="155"/>
      <c r="BH144" s="155"/>
      <c r="BI144" s="155"/>
      <c r="BJ144" s="155"/>
      <c r="BK144" s="155"/>
      <c r="BL144" s="155"/>
      <c r="BM144" s="155"/>
      <c r="BN144" s="155"/>
      <c r="BO144" s="155"/>
      <c r="BP144" s="155"/>
    </row>
    <row r="145" spans="1:68" ht="15.75" thickBot="1" x14ac:dyDescent="0.3">
      <c r="A145" s="176"/>
      <c r="B145" s="185"/>
      <c r="C145" s="203"/>
      <c r="D145" s="161"/>
      <c r="E145" s="145"/>
      <c r="F145" s="158"/>
      <c r="G145" s="158"/>
      <c r="H145" s="158"/>
      <c r="I145" s="158"/>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c r="BC145" s="155"/>
      <c r="BD145" s="155"/>
      <c r="BE145" s="155"/>
      <c r="BF145" s="155"/>
      <c r="BG145" s="155"/>
      <c r="BH145" s="155"/>
      <c r="BI145" s="155"/>
      <c r="BJ145" s="155"/>
      <c r="BK145" s="155"/>
      <c r="BL145" s="155"/>
      <c r="BM145" s="155"/>
      <c r="BN145" s="155"/>
      <c r="BO145" s="155"/>
      <c r="BP145" s="155"/>
    </row>
    <row r="146" spans="1:68" ht="15.75" thickBot="1" x14ac:dyDescent="0.3">
      <c r="A146" s="128" t="s">
        <v>211</v>
      </c>
      <c r="B146" s="140">
        <f>IRR('4. Cash flow '!P12:P62,0.1)</f>
        <v>8.2894980203857882E-2</v>
      </c>
      <c r="C146" s="140">
        <f>IRR('4. Cash flow '!Q12:Q62,0.1)</f>
        <v>0.14430086401969744</v>
      </c>
      <c r="D146" s="145"/>
      <c r="E146" s="145"/>
      <c r="F146" s="158"/>
      <c r="G146" s="158"/>
      <c r="H146" s="158"/>
      <c r="I146" s="158"/>
      <c r="J146" s="155"/>
      <c r="K146" s="155"/>
      <c r="L146" s="155"/>
      <c r="M146" s="163"/>
      <c r="N146" s="163"/>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55"/>
      <c r="BE146" s="155"/>
      <c r="BF146" s="155"/>
      <c r="BG146" s="155"/>
      <c r="BH146" s="155"/>
      <c r="BI146" s="155"/>
      <c r="BJ146" s="155"/>
      <c r="BK146" s="155"/>
      <c r="BL146" s="155"/>
      <c r="BM146" s="155"/>
      <c r="BN146" s="155"/>
      <c r="BO146" s="155"/>
      <c r="BP146" s="155"/>
    </row>
    <row r="147" spans="1:68" s="39" customFormat="1" x14ac:dyDescent="0.25">
      <c r="A147" s="176"/>
      <c r="B147" s="185"/>
      <c r="C147" s="203"/>
      <c r="D147" s="145"/>
      <c r="E147" s="145"/>
      <c r="F147" s="158"/>
      <c r="G147" s="158"/>
      <c r="H147" s="158"/>
      <c r="I147" s="158"/>
      <c r="J147" s="155"/>
      <c r="K147" s="155"/>
      <c r="L147" s="155"/>
      <c r="M147" s="163"/>
      <c r="N147" s="163"/>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5"/>
      <c r="AZ147" s="155"/>
      <c r="BA147" s="155"/>
      <c r="BB147" s="155"/>
      <c r="BC147" s="155"/>
      <c r="BD147" s="155"/>
      <c r="BE147" s="155"/>
      <c r="BF147" s="155"/>
      <c r="BG147" s="155"/>
      <c r="BH147" s="155"/>
      <c r="BI147" s="155"/>
      <c r="BJ147" s="155"/>
      <c r="BK147" s="155"/>
      <c r="BL147" s="155"/>
      <c r="BM147" s="155"/>
      <c r="BN147" s="155"/>
      <c r="BO147" s="155"/>
      <c r="BP147" s="155"/>
    </row>
    <row r="148" spans="1:68" ht="15.75" thickBot="1" x14ac:dyDescent="0.3">
      <c r="A148" s="174"/>
      <c r="B148" s="146"/>
      <c r="C148" s="175"/>
      <c r="D148" s="161"/>
      <c r="E148" s="145"/>
      <c r="F148" s="158"/>
      <c r="G148" s="158"/>
      <c r="H148" s="158"/>
      <c r="I148" s="158"/>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c r="AM148" s="155"/>
      <c r="AN148" s="155"/>
      <c r="AO148" s="155"/>
      <c r="AP148" s="155"/>
      <c r="AQ148" s="155"/>
      <c r="AR148" s="155"/>
      <c r="AS148" s="155"/>
      <c r="AT148" s="155"/>
      <c r="AU148" s="155"/>
      <c r="AV148" s="155"/>
      <c r="AW148" s="155"/>
      <c r="AX148" s="155"/>
      <c r="AY148" s="155"/>
      <c r="AZ148" s="155"/>
      <c r="BA148" s="155"/>
      <c r="BB148" s="155"/>
      <c r="BC148" s="155"/>
      <c r="BD148" s="155"/>
      <c r="BE148" s="155"/>
      <c r="BF148" s="155"/>
      <c r="BG148" s="155"/>
      <c r="BH148" s="155"/>
      <c r="BI148" s="155"/>
      <c r="BJ148" s="155"/>
      <c r="BK148" s="155"/>
      <c r="BL148" s="155"/>
      <c r="BM148" s="155"/>
      <c r="BN148" s="155"/>
      <c r="BO148" s="155"/>
      <c r="BP148" s="155"/>
    </row>
    <row r="149" spans="1:68" ht="15.75" thickBot="1" x14ac:dyDescent="0.3">
      <c r="A149" s="128" t="s">
        <v>101</v>
      </c>
      <c r="B149" s="135">
        <f ca="1">OFFSET('5. NPV'!E11,MATCH(B21,'5. NPV'!E12:E62,0),1)</f>
        <v>-51933.006338848747</v>
      </c>
      <c r="C149" s="135">
        <f ca="1">OFFSET('5. NPV'!E11,MATCH(C21,'5. NPV'!E12:E62,0),2)</f>
        <v>65892.201348008428</v>
      </c>
      <c r="D149" s="145"/>
      <c r="E149" s="145"/>
      <c r="F149" s="158"/>
      <c r="G149" s="158"/>
      <c r="H149" s="158"/>
      <c r="I149" s="158"/>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5"/>
      <c r="AZ149" s="155"/>
      <c r="BA149" s="155"/>
      <c r="BB149" s="155"/>
      <c r="BC149" s="155"/>
      <c r="BD149" s="155"/>
      <c r="BE149" s="155"/>
      <c r="BF149" s="155"/>
      <c r="BG149" s="155"/>
      <c r="BH149" s="155"/>
      <c r="BI149" s="155"/>
      <c r="BJ149" s="155"/>
      <c r="BK149" s="155"/>
      <c r="BL149" s="155"/>
      <c r="BM149" s="155"/>
      <c r="BN149" s="155"/>
      <c r="BO149" s="155"/>
      <c r="BP149" s="155"/>
    </row>
    <row r="150" spans="1:68" s="39" customFormat="1" ht="15.75" thickBot="1" x14ac:dyDescent="0.3">
      <c r="A150" s="174"/>
      <c r="B150" s="186"/>
      <c r="C150" s="204"/>
      <c r="D150" s="145"/>
      <c r="E150" s="145"/>
      <c r="F150" s="158"/>
      <c r="G150" s="158"/>
      <c r="H150" s="158"/>
      <c r="I150" s="158"/>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5"/>
      <c r="AZ150" s="155"/>
      <c r="BA150" s="155"/>
      <c r="BB150" s="155"/>
      <c r="BC150" s="155"/>
      <c r="BD150" s="155"/>
      <c r="BE150" s="155"/>
      <c r="BF150" s="155"/>
      <c r="BG150" s="155"/>
      <c r="BH150" s="155"/>
      <c r="BI150" s="155"/>
      <c r="BJ150" s="155"/>
      <c r="BK150" s="155"/>
      <c r="BL150" s="155"/>
      <c r="BM150" s="155"/>
      <c r="BN150" s="155"/>
      <c r="BO150" s="155"/>
      <c r="BP150" s="155"/>
    </row>
    <row r="151" spans="1:68" s="39" customFormat="1" ht="15.75" thickBot="1" x14ac:dyDescent="0.3">
      <c r="A151" s="128" t="s">
        <v>208</v>
      </c>
      <c r="B151" s="135">
        <f ca="1">OFFSET('5. NPV'!E11,MATCH(B21,'5. NPV'!E12:E62,0),3)</f>
        <v>-2699.0625091527654</v>
      </c>
      <c r="C151" s="135">
        <f ca="1">OFFSET('5. NPV'!E11,MATCH(C21,'5. NPV'!E12:E62,0),4)</f>
        <v>165448.54485409745</v>
      </c>
      <c r="D151" s="145"/>
      <c r="E151" s="145"/>
      <c r="F151" s="158"/>
      <c r="G151" s="158"/>
      <c r="H151" s="158"/>
      <c r="I151" s="158"/>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5"/>
      <c r="AR151" s="155"/>
      <c r="AS151" s="155"/>
      <c r="AT151" s="155"/>
      <c r="AU151" s="155"/>
      <c r="AV151" s="155"/>
      <c r="AW151" s="155"/>
      <c r="AX151" s="155"/>
      <c r="AY151" s="155"/>
      <c r="AZ151" s="155"/>
      <c r="BA151" s="155"/>
      <c r="BB151" s="155"/>
      <c r="BC151" s="155"/>
      <c r="BD151" s="155"/>
      <c r="BE151" s="155"/>
      <c r="BF151" s="155"/>
      <c r="BG151" s="155"/>
      <c r="BH151" s="155"/>
      <c r="BI151" s="155"/>
      <c r="BJ151" s="155"/>
      <c r="BK151" s="155"/>
      <c r="BL151" s="155"/>
      <c r="BM151" s="155"/>
      <c r="BN151" s="155"/>
      <c r="BO151" s="155"/>
      <c r="BP151" s="155"/>
    </row>
    <row r="152" spans="1:68" ht="15.75" thickBot="1" x14ac:dyDescent="0.3">
      <c r="A152" s="115"/>
      <c r="B152" s="186"/>
      <c r="C152" s="204"/>
      <c r="D152" s="161"/>
      <c r="E152" s="145"/>
      <c r="F152" s="158"/>
      <c r="G152" s="158"/>
      <c r="H152" s="158"/>
      <c r="I152" s="158"/>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5"/>
      <c r="AR152" s="155"/>
      <c r="AS152" s="155"/>
      <c r="AT152" s="155"/>
      <c r="AU152" s="155"/>
      <c r="AV152" s="155"/>
      <c r="AW152" s="155"/>
      <c r="AX152" s="155"/>
      <c r="AY152" s="155"/>
      <c r="AZ152" s="155"/>
      <c r="BA152" s="155"/>
      <c r="BB152" s="155"/>
      <c r="BC152" s="155"/>
      <c r="BD152" s="155"/>
      <c r="BE152" s="155"/>
      <c r="BF152" s="155"/>
      <c r="BG152" s="155"/>
      <c r="BH152" s="155"/>
      <c r="BI152" s="155"/>
      <c r="BJ152" s="155"/>
      <c r="BK152" s="155"/>
      <c r="BL152" s="155"/>
      <c r="BM152" s="155"/>
      <c r="BN152" s="155"/>
      <c r="BO152" s="155"/>
      <c r="BP152" s="155"/>
    </row>
    <row r="153" spans="1:68" ht="15.75" thickBot="1" x14ac:dyDescent="0.3">
      <c r="A153" s="128" t="s">
        <v>209</v>
      </c>
      <c r="B153" s="135">
        <f ca="1">OFFSET('5. NPV'!E11,MATCH(B21,'5. NPV'!E12:E62,0),5)</f>
        <v>63833.025185184684</v>
      </c>
      <c r="C153" s="135">
        <f ca="1">OFFSET('5. NPV'!E11,MATCH(C21,'5. NPV'!E12:E62,0),6)</f>
        <v>304737.97737528681</v>
      </c>
      <c r="D153" s="145"/>
      <c r="E153" s="145"/>
      <c r="F153" s="158"/>
      <c r="G153" s="158"/>
      <c r="H153" s="158"/>
      <c r="I153" s="158"/>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5"/>
      <c r="AK153" s="155"/>
      <c r="AL153" s="155"/>
      <c r="AM153" s="155"/>
      <c r="AN153" s="155"/>
      <c r="AO153" s="155"/>
      <c r="AP153" s="155"/>
      <c r="AQ153" s="155"/>
      <c r="AR153" s="155"/>
      <c r="AS153" s="155"/>
      <c r="AT153" s="155"/>
      <c r="AU153" s="155"/>
      <c r="AV153" s="155"/>
      <c r="AW153" s="155"/>
      <c r="AX153" s="155"/>
      <c r="AY153" s="155"/>
      <c r="AZ153" s="155"/>
      <c r="BA153" s="155"/>
      <c r="BB153" s="155"/>
      <c r="BC153" s="155"/>
      <c r="BD153" s="155"/>
      <c r="BE153" s="155"/>
      <c r="BF153" s="155"/>
      <c r="BG153" s="155"/>
      <c r="BH153" s="155"/>
      <c r="BI153" s="155"/>
      <c r="BJ153" s="155"/>
      <c r="BK153" s="155"/>
      <c r="BL153" s="155"/>
      <c r="BM153" s="155"/>
      <c r="BN153" s="155"/>
      <c r="BO153" s="155"/>
      <c r="BP153" s="155"/>
    </row>
    <row r="154" spans="1:68" s="39" customFormat="1" x14ac:dyDescent="0.25">
      <c r="A154" s="176"/>
      <c r="B154" s="182"/>
      <c r="C154" s="200"/>
      <c r="D154" s="145"/>
      <c r="E154" s="145"/>
      <c r="F154" s="158"/>
      <c r="G154" s="158"/>
      <c r="H154" s="158"/>
      <c r="I154" s="158"/>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c r="AM154" s="155"/>
      <c r="AN154" s="155"/>
      <c r="AO154" s="155"/>
      <c r="AP154" s="155"/>
      <c r="AQ154" s="155"/>
      <c r="AR154" s="155"/>
      <c r="AS154" s="155"/>
      <c r="AT154" s="155"/>
      <c r="AU154" s="155"/>
      <c r="AV154" s="155"/>
      <c r="AW154" s="155"/>
      <c r="AX154" s="155"/>
      <c r="AY154" s="155"/>
      <c r="AZ154" s="155"/>
      <c r="BA154" s="155"/>
      <c r="BB154" s="155"/>
      <c r="BC154" s="155"/>
      <c r="BD154" s="155"/>
      <c r="BE154" s="155"/>
      <c r="BF154" s="155"/>
      <c r="BG154" s="155"/>
      <c r="BH154" s="155"/>
      <c r="BI154" s="155"/>
      <c r="BJ154" s="155"/>
      <c r="BK154" s="155"/>
      <c r="BL154" s="155"/>
      <c r="BM154" s="155"/>
      <c r="BN154" s="155"/>
      <c r="BO154" s="155"/>
      <c r="BP154" s="155"/>
    </row>
    <row r="155" spans="1:68" ht="17.100000000000001" customHeight="1" thickBot="1" x14ac:dyDescent="0.3">
      <c r="A155" s="174"/>
      <c r="B155" s="205"/>
      <c r="C155" s="206"/>
      <c r="D155" s="171"/>
      <c r="E155" s="149"/>
      <c r="F155" s="155"/>
      <c r="G155" s="158"/>
      <c r="H155" s="158"/>
      <c r="I155" s="158"/>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c r="AL155" s="155"/>
      <c r="AM155" s="155"/>
      <c r="AN155" s="155"/>
      <c r="AO155" s="155"/>
      <c r="AP155" s="155"/>
      <c r="AQ155" s="155"/>
      <c r="AR155" s="155"/>
      <c r="AS155" s="155"/>
      <c r="AT155" s="155"/>
      <c r="AU155" s="155"/>
      <c r="AV155" s="155"/>
      <c r="AW155" s="155"/>
      <c r="AX155" s="155"/>
      <c r="AY155" s="155"/>
      <c r="AZ155" s="155"/>
      <c r="BA155" s="155"/>
      <c r="BB155" s="155"/>
      <c r="BC155" s="155"/>
      <c r="BD155" s="155"/>
      <c r="BE155" s="155"/>
      <c r="BF155" s="155"/>
      <c r="BG155" s="155"/>
      <c r="BH155" s="155"/>
      <c r="BI155" s="155"/>
      <c r="BJ155" s="155"/>
      <c r="BK155" s="155"/>
      <c r="BL155" s="155"/>
      <c r="BM155" s="155"/>
      <c r="BN155" s="155"/>
      <c r="BO155" s="155"/>
      <c r="BP155" s="155"/>
    </row>
    <row r="156" spans="1:68" ht="15.95" customHeight="1" thickBot="1" x14ac:dyDescent="0.3">
      <c r="A156" s="128" t="s">
        <v>108</v>
      </c>
      <c r="B156" s="135">
        <f ca="1">OFFSET('4. Cash flow '!E11,MATCH(B21,'4. Cash flow '!E12:E62,0),1)</f>
        <v>1338.5247345738167</v>
      </c>
      <c r="C156" s="135">
        <f ca="1">OFFSET('4. Cash flow '!E11,MATCH(C21,'4. Cash flow '!E12:E62,0),2)</f>
        <v>203611.57024222717</v>
      </c>
      <c r="D156" s="149"/>
      <c r="E156" s="149"/>
      <c r="F156" s="155"/>
      <c r="G156" s="158"/>
      <c r="H156" s="158"/>
      <c r="I156" s="158"/>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c r="AJ156" s="155"/>
      <c r="AK156" s="155"/>
      <c r="AL156" s="155"/>
      <c r="AM156" s="155"/>
      <c r="AN156" s="155"/>
      <c r="AO156" s="155"/>
      <c r="AP156" s="155"/>
      <c r="AQ156" s="155"/>
      <c r="AR156" s="155"/>
      <c r="AS156" s="155"/>
      <c r="AT156" s="155"/>
      <c r="AU156" s="155"/>
      <c r="AV156" s="155"/>
      <c r="AW156" s="155"/>
      <c r="AX156" s="155"/>
      <c r="AY156" s="155"/>
      <c r="AZ156" s="155"/>
      <c r="BA156" s="155"/>
      <c r="BB156" s="155"/>
      <c r="BC156" s="155"/>
      <c r="BD156" s="155"/>
      <c r="BE156" s="155"/>
      <c r="BF156" s="155"/>
      <c r="BG156" s="155"/>
      <c r="BH156" s="155"/>
      <c r="BI156" s="155"/>
      <c r="BJ156" s="155"/>
      <c r="BK156" s="155"/>
      <c r="BL156" s="155"/>
      <c r="BM156" s="155"/>
      <c r="BN156" s="155"/>
      <c r="BO156" s="155"/>
      <c r="BP156" s="155"/>
    </row>
    <row r="157" spans="1:68" ht="15.75" thickBot="1" x14ac:dyDescent="0.3">
      <c r="A157" s="174"/>
      <c r="B157" s="186"/>
      <c r="C157" s="204"/>
      <c r="D157" s="161"/>
      <c r="E157" s="149"/>
      <c r="F157" s="155"/>
      <c r="G157" s="155"/>
      <c r="H157" s="155"/>
      <c r="I157" s="158"/>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5"/>
      <c r="AK157" s="155"/>
      <c r="AL157" s="155"/>
      <c r="AM157" s="155"/>
      <c r="AN157" s="155"/>
      <c r="AO157" s="155"/>
      <c r="AP157" s="155"/>
      <c r="AQ157" s="155"/>
      <c r="AR157" s="155"/>
      <c r="AS157" s="155"/>
      <c r="AT157" s="155"/>
      <c r="AU157" s="155"/>
      <c r="AV157" s="155"/>
      <c r="AW157" s="155"/>
      <c r="AX157" s="155"/>
      <c r="AY157" s="155"/>
      <c r="AZ157" s="155"/>
      <c r="BA157" s="155"/>
      <c r="BB157" s="155"/>
      <c r="BC157" s="155"/>
      <c r="BD157" s="155"/>
      <c r="BE157" s="155"/>
      <c r="BF157" s="155"/>
      <c r="BG157" s="155"/>
      <c r="BH157" s="155"/>
      <c r="BI157" s="155"/>
      <c r="BJ157" s="155"/>
      <c r="BK157" s="155"/>
      <c r="BL157" s="155"/>
      <c r="BM157" s="155"/>
      <c r="BN157" s="155"/>
      <c r="BO157" s="155"/>
      <c r="BP157" s="155"/>
    </row>
    <row r="158" spans="1:68" ht="15.75" thickBot="1" x14ac:dyDescent="0.3">
      <c r="A158" s="128" t="s">
        <v>212</v>
      </c>
      <c r="B158" s="135">
        <f ca="1">OFFSET('4. Cash flow '!E11,MATCH(B21,'4. Cash flow '!E12:E62,0),3)</f>
        <v>86342.786967533961</v>
      </c>
      <c r="C158" s="135">
        <f ca="1">OFFSET('4. Cash flow '!E11,MATCH(C21,'4. Cash flow '!E12:E62,0),4)</f>
        <v>374897.18461794639</v>
      </c>
      <c r="D158" s="149"/>
      <c r="E158" s="149"/>
      <c r="F158" s="155"/>
      <c r="G158" s="155"/>
      <c r="H158" s="155"/>
      <c r="I158" s="158"/>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c r="AJ158" s="155"/>
      <c r="AK158" s="155"/>
      <c r="AL158" s="155"/>
      <c r="AM158" s="155"/>
      <c r="AN158" s="155"/>
      <c r="AO158" s="155"/>
      <c r="AP158" s="155"/>
      <c r="AQ158" s="155"/>
      <c r="AR158" s="155"/>
      <c r="AS158" s="155"/>
      <c r="AT158" s="155"/>
      <c r="AU158" s="155"/>
      <c r="AV158" s="155"/>
      <c r="AW158" s="155"/>
      <c r="AX158" s="155"/>
      <c r="AY158" s="155"/>
      <c r="AZ158" s="155"/>
      <c r="BA158" s="155"/>
      <c r="BB158" s="155"/>
      <c r="BC158" s="155"/>
      <c r="BD158" s="155"/>
      <c r="BE158" s="155"/>
      <c r="BF158" s="155"/>
      <c r="BG158" s="155"/>
      <c r="BH158" s="155"/>
      <c r="BI158" s="155"/>
      <c r="BJ158" s="155"/>
      <c r="BK158" s="155"/>
      <c r="BL158" s="155"/>
      <c r="BM158" s="155"/>
      <c r="BN158" s="155"/>
      <c r="BO158" s="155"/>
      <c r="BP158" s="155"/>
    </row>
    <row r="159" spans="1:68" ht="15.75" thickBot="1" x14ac:dyDescent="0.3">
      <c r="A159" s="174"/>
      <c r="B159" s="205"/>
      <c r="C159" s="207"/>
      <c r="D159" s="149"/>
      <c r="E159" s="149"/>
      <c r="F159" s="155"/>
      <c r="G159" s="155"/>
      <c r="H159" s="155"/>
      <c r="I159" s="158"/>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5"/>
      <c r="AJ159" s="155"/>
      <c r="AK159" s="155"/>
      <c r="AL159" s="155"/>
      <c r="AM159" s="155"/>
      <c r="AN159" s="155"/>
      <c r="AO159" s="155"/>
      <c r="AP159" s="155"/>
      <c r="AQ159" s="155"/>
      <c r="AR159" s="155"/>
      <c r="AS159" s="155"/>
      <c r="AT159" s="155"/>
      <c r="AU159" s="155"/>
      <c r="AV159" s="155"/>
      <c r="AW159" s="155"/>
      <c r="AX159" s="155"/>
      <c r="AY159" s="155"/>
      <c r="AZ159" s="155"/>
      <c r="BA159" s="155"/>
      <c r="BB159" s="155"/>
      <c r="BC159" s="155"/>
      <c r="BD159" s="155"/>
      <c r="BE159" s="155"/>
      <c r="BF159" s="155"/>
      <c r="BG159" s="155"/>
      <c r="BH159" s="155"/>
      <c r="BI159" s="155"/>
      <c r="BJ159" s="155"/>
      <c r="BK159" s="155"/>
      <c r="BL159" s="155"/>
      <c r="BM159" s="155"/>
      <c r="BN159" s="155"/>
      <c r="BO159" s="155"/>
      <c r="BP159" s="155"/>
    </row>
    <row r="160" spans="1:68" ht="15.75" thickBot="1" x14ac:dyDescent="0.3">
      <c r="A160" s="129" t="s">
        <v>213</v>
      </c>
      <c r="B160" s="135">
        <f ca="1">OFFSET('4. Cash flow '!E11,MATCH(B21,'4. Cash flow '!E12:E62,0),5)</f>
        <v>203427.3374068306</v>
      </c>
      <c r="C160" s="135">
        <f ca="1">OFFSET('4. Cash flow '!E11,MATCH(C21,'4. Cash flow '!E12:E62,0),6)</f>
        <v>620443.05859006732</v>
      </c>
      <c r="D160" s="149"/>
      <c r="E160" s="149"/>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5"/>
      <c r="AJ160" s="155"/>
      <c r="AK160" s="155"/>
      <c r="AL160" s="155"/>
      <c r="AM160" s="155"/>
      <c r="AN160" s="155"/>
      <c r="AO160" s="155"/>
      <c r="AP160" s="155"/>
      <c r="AQ160" s="155"/>
      <c r="AR160" s="155"/>
      <c r="AS160" s="155"/>
      <c r="AT160" s="155"/>
      <c r="AU160" s="155"/>
      <c r="AV160" s="155"/>
      <c r="AW160" s="155"/>
      <c r="AX160" s="155"/>
      <c r="AY160" s="155"/>
      <c r="AZ160" s="155"/>
      <c r="BA160" s="155"/>
      <c r="BB160" s="155"/>
      <c r="BC160" s="155"/>
      <c r="BD160" s="155"/>
      <c r="BE160" s="155"/>
      <c r="BF160" s="155"/>
      <c r="BG160" s="155"/>
      <c r="BH160" s="155"/>
      <c r="BI160" s="155"/>
      <c r="BJ160" s="155"/>
      <c r="BK160" s="155"/>
      <c r="BL160" s="155"/>
      <c r="BM160" s="155"/>
      <c r="BN160" s="155"/>
      <c r="BO160" s="155"/>
      <c r="BP160" s="155"/>
    </row>
    <row r="161" spans="1:68" x14ac:dyDescent="0.25">
      <c r="A161" s="149"/>
      <c r="B161" s="149"/>
      <c r="C161" s="149"/>
      <c r="D161" s="149"/>
      <c r="E161" s="149"/>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5"/>
      <c r="AJ161" s="155"/>
      <c r="AK161" s="155"/>
      <c r="AL161" s="155"/>
      <c r="AM161" s="155"/>
      <c r="AN161" s="155"/>
      <c r="AO161" s="155"/>
      <c r="AP161" s="155"/>
      <c r="AQ161" s="155"/>
      <c r="AR161" s="155"/>
      <c r="AS161" s="155"/>
      <c r="AT161" s="155"/>
      <c r="AU161" s="155"/>
      <c r="AV161" s="155"/>
      <c r="AW161" s="155"/>
      <c r="AX161" s="155"/>
      <c r="AY161" s="155"/>
      <c r="AZ161" s="155"/>
      <c r="BA161" s="155"/>
      <c r="BB161" s="155"/>
      <c r="BC161" s="155"/>
      <c r="BD161" s="155"/>
      <c r="BE161" s="155"/>
      <c r="BF161" s="155"/>
      <c r="BG161" s="155"/>
      <c r="BH161" s="155"/>
      <c r="BI161" s="155"/>
      <c r="BJ161" s="155"/>
      <c r="BK161" s="155"/>
      <c r="BL161" s="155"/>
      <c r="BM161" s="155"/>
      <c r="BN161" s="155"/>
      <c r="BO161" s="155"/>
      <c r="BP161" s="155"/>
    </row>
    <row r="162" spans="1:68" x14ac:dyDescent="0.25">
      <c r="A162" s="149"/>
      <c r="B162" s="149"/>
      <c r="C162" s="149"/>
      <c r="D162" s="149"/>
      <c r="E162" s="149"/>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c r="AW162" s="155"/>
      <c r="AX162" s="155"/>
      <c r="AY162" s="155"/>
      <c r="AZ162" s="155"/>
      <c r="BA162" s="155"/>
      <c r="BB162" s="155"/>
      <c r="BC162" s="155"/>
      <c r="BD162" s="155"/>
      <c r="BE162" s="155"/>
      <c r="BF162" s="155"/>
      <c r="BG162" s="155"/>
      <c r="BH162" s="155"/>
      <c r="BI162" s="155"/>
      <c r="BJ162" s="155"/>
      <c r="BK162" s="155"/>
      <c r="BL162" s="155"/>
      <c r="BM162" s="155"/>
      <c r="BN162" s="155"/>
      <c r="BO162" s="155"/>
      <c r="BP162" s="155"/>
    </row>
    <row r="163" spans="1:68" x14ac:dyDescent="0.25">
      <c r="A163" s="149"/>
      <c r="B163" s="149"/>
      <c r="C163" s="149"/>
      <c r="D163" s="149"/>
      <c r="E163" s="149"/>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5"/>
      <c r="AK163" s="155"/>
      <c r="AL163" s="155"/>
      <c r="AM163" s="155"/>
      <c r="AN163" s="155"/>
      <c r="AO163" s="155"/>
      <c r="AP163" s="155"/>
      <c r="AQ163" s="155"/>
      <c r="AR163" s="155"/>
      <c r="AS163" s="155"/>
      <c r="AT163" s="155"/>
      <c r="AU163" s="155"/>
      <c r="AV163" s="155"/>
      <c r="AW163" s="155"/>
      <c r="AX163" s="155"/>
      <c r="AY163" s="155"/>
      <c r="AZ163" s="155"/>
      <c r="BA163" s="155"/>
      <c r="BB163" s="155"/>
      <c r="BC163" s="155"/>
      <c r="BD163" s="155"/>
      <c r="BE163" s="155"/>
      <c r="BF163" s="155"/>
      <c r="BG163" s="155"/>
      <c r="BH163" s="155"/>
      <c r="BI163" s="155"/>
      <c r="BJ163" s="155"/>
      <c r="BK163" s="155"/>
      <c r="BL163" s="155"/>
      <c r="BM163" s="155"/>
      <c r="BN163" s="155"/>
      <c r="BO163" s="155"/>
      <c r="BP163" s="155"/>
    </row>
    <row r="164" spans="1:68" x14ac:dyDescent="0.25">
      <c r="A164" s="149"/>
      <c r="B164" s="149"/>
      <c r="C164" s="149"/>
      <c r="D164" s="149"/>
      <c r="E164" s="149"/>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c r="AM164" s="155"/>
      <c r="AN164" s="155"/>
      <c r="AO164" s="155"/>
      <c r="AP164" s="155"/>
      <c r="AQ164" s="155"/>
      <c r="AR164" s="155"/>
      <c r="AS164" s="155"/>
      <c r="AT164" s="155"/>
      <c r="AU164" s="155"/>
      <c r="AV164" s="155"/>
      <c r="AW164" s="155"/>
      <c r="AX164" s="155"/>
      <c r="AY164" s="155"/>
      <c r="AZ164" s="155"/>
      <c r="BA164" s="155"/>
      <c r="BB164" s="155"/>
      <c r="BC164" s="155"/>
      <c r="BD164" s="155"/>
      <c r="BE164" s="155"/>
      <c r="BF164" s="155"/>
      <c r="BG164" s="155"/>
      <c r="BH164" s="155"/>
      <c r="BI164" s="155"/>
      <c r="BJ164" s="155"/>
      <c r="BK164" s="155"/>
      <c r="BL164" s="155"/>
      <c r="BM164" s="155"/>
      <c r="BN164" s="155"/>
      <c r="BO164" s="155"/>
      <c r="BP164" s="155"/>
    </row>
    <row r="165" spans="1:68" x14ac:dyDescent="0.25">
      <c r="A165" s="149"/>
      <c r="B165" s="149"/>
      <c r="C165" s="149"/>
      <c r="D165" s="149"/>
      <c r="E165" s="149"/>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5"/>
      <c r="AJ165" s="155"/>
      <c r="AK165" s="155"/>
      <c r="AL165" s="155"/>
      <c r="AM165" s="155"/>
      <c r="AN165" s="155"/>
      <c r="AO165" s="155"/>
      <c r="AP165" s="155"/>
      <c r="AQ165" s="155"/>
      <c r="AR165" s="155"/>
      <c r="AS165" s="155"/>
      <c r="AT165" s="155"/>
      <c r="AU165" s="155"/>
      <c r="AV165" s="155"/>
      <c r="AW165" s="155"/>
      <c r="AX165" s="155"/>
      <c r="AY165" s="155"/>
      <c r="AZ165" s="155"/>
      <c r="BA165" s="155"/>
      <c r="BB165" s="155"/>
      <c r="BC165" s="155"/>
      <c r="BD165" s="155"/>
      <c r="BE165" s="155"/>
      <c r="BF165" s="155"/>
      <c r="BG165" s="155"/>
      <c r="BH165" s="155"/>
      <c r="BI165" s="155"/>
      <c r="BJ165" s="155"/>
      <c r="BK165" s="155"/>
      <c r="BL165" s="155"/>
      <c r="BM165" s="155"/>
      <c r="BN165" s="155"/>
      <c r="BO165" s="155"/>
      <c r="BP165" s="155"/>
    </row>
    <row r="166" spans="1:68" x14ac:dyDescent="0.25">
      <c r="A166" s="149"/>
      <c r="B166" s="149"/>
      <c r="C166" s="149"/>
      <c r="D166" s="149"/>
      <c r="E166" s="149"/>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5"/>
      <c r="AJ166" s="155"/>
      <c r="AK166" s="155"/>
      <c r="AL166" s="155"/>
      <c r="AM166" s="155"/>
      <c r="AN166" s="155"/>
      <c r="AO166" s="155"/>
      <c r="AP166" s="155"/>
      <c r="AQ166" s="155"/>
      <c r="AR166" s="155"/>
      <c r="AS166" s="155"/>
      <c r="AT166" s="155"/>
      <c r="AU166" s="155"/>
      <c r="AV166" s="155"/>
      <c r="AW166" s="155"/>
      <c r="AX166" s="155"/>
      <c r="AY166" s="155"/>
      <c r="AZ166" s="155"/>
      <c r="BA166" s="155"/>
      <c r="BB166" s="155"/>
      <c r="BC166" s="155"/>
      <c r="BD166" s="155"/>
      <c r="BE166" s="155"/>
      <c r="BF166" s="155"/>
      <c r="BG166" s="155"/>
      <c r="BH166" s="155"/>
      <c r="BI166" s="155"/>
      <c r="BJ166" s="155"/>
      <c r="BK166" s="155"/>
      <c r="BL166" s="155"/>
      <c r="BM166" s="155"/>
      <c r="BN166" s="155"/>
      <c r="BO166" s="155"/>
      <c r="BP166" s="155"/>
    </row>
    <row r="167" spans="1:68" x14ac:dyDescent="0.25">
      <c r="A167" s="149"/>
      <c r="B167" s="149"/>
      <c r="C167" s="149"/>
      <c r="D167" s="149"/>
      <c r="E167" s="149"/>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155"/>
      <c r="AK167" s="155"/>
      <c r="AL167" s="155"/>
      <c r="AM167" s="155"/>
      <c r="AN167" s="155"/>
      <c r="AO167" s="155"/>
      <c r="AP167" s="155"/>
      <c r="AQ167" s="155"/>
      <c r="AR167" s="155"/>
      <c r="AS167" s="155"/>
      <c r="AT167" s="155"/>
      <c r="AU167" s="155"/>
      <c r="AV167" s="155"/>
      <c r="AW167" s="155"/>
      <c r="AX167" s="155"/>
      <c r="AY167" s="155"/>
      <c r="AZ167" s="155"/>
      <c r="BA167" s="155"/>
      <c r="BB167" s="155"/>
      <c r="BC167" s="155"/>
      <c r="BD167" s="155"/>
      <c r="BE167" s="155"/>
      <c r="BF167" s="155"/>
      <c r="BG167" s="155"/>
      <c r="BH167" s="155"/>
      <c r="BI167" s="155"/>
      <c r="BJ167" s="155"/>
      <c r="BK167" s="155"/>
      <c r="BL167" s="155"/>
      <c r="BM167" s="155"/>
      <c r="BN167" s="155"/>
      <c r="BO167" s="155"/>
      <c r="BP167" s="155"/>
    </row>
    <row r="168" spans="1:68" x14ac:dyDescent="0.25">
      <c r="A168" s="149"/>
      <c r="B168" s="149"/>
      <c r="C168" s="149"/>
      <c r="D168" s="149"/>
      <c r="E168" s="149"/>
      <c r="F168" s="155"/>
      <c r="G168" s="155"/>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c r="AJ168" s="155"/>
      <c r="AK168" s="155"/>
      <c r="AL168" s="155"/>
      <c r="AM168" s="155"/>
      <c r="AN168" s="155"/>
      <c r="AO168" s="155"/>
      <c r="AP168" s="155"/>
      <c r="AQ168" s="155"/>
      <c r="AR168" s="155"/>
      <c r="AS168" s="155"/>
      <c r="AT168" s="155"/>
      <c r="AU168" s="155"/>
      <c r="AV168" s="155"/>
      <c r="AW168" s="155"/>
      <c r="AX168" s="155"/>
      <c r="AY168" s="155"/>
      <c r="AZ168" s="155"/>
      <c r="BA168" s="155"/>
      <c r="BB168" s="155"/>
      <c r="BC168" s="155"/>
      <c r="BD168" s="155"/>
      <c r="BE168" s="155"/>
      <c r="BF168" s="155"/>
      <c r="BG168" s="155"/>
      <c r="BH168" s="155"/>
      <c r="BI168" s="155"/>
      <c r="BJ168" s="155"/>
      <c r="BK168" s="155"/>
      <c r="BL168" s="155"/>
      <c r="BM168" s="155"/>
      <c r="BN168" s="155"/>
      <c r="BO168" s="155"/>
      <c r="BP168" s="155"/>
    </row>
    <row r="169" spans="1:68" x14ac:dyDescent="0.25">
      <c r="A169" s="149"/>
      <c r="B169" s="149"/>
      <c r="C169" s="149"/>
      <c r="D169" s="149"/>
      <c r="E169" s="149"/>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155"/>
      <c r="AK169" s="155"/>
      <c r="AL169" s="155"/>
      <c r="AM169" s="155"/>
      <c r="AN169" s="155"/>
      <c r="AO169" s="155"/>
      <c r="AP169" s="155"/>
      <c r="AQ169" s="155"/>
      <c r="AR169" s="155"/>
      <c r="AS169" s="155"/>
      <c r="AT169" s="155"/>
      <c r="AU169" s="155"/>
      <c r="AV169" s="155"/>
      <c r="AW169" s="155"/>
      <c r="AX169" s="155"/>
      <c r="AY169" s="155"/>
      <c r="AZ169" s="155"/>
      <c r="BA169" s="155"/>
      <c r="BB169" s="155"/>
      <c r="BC169" s="155"/>
      <c r="BD169" s="155"/>
      <c r="BE169" s="155"/>
      <c r="BF169" s="155"/>
      <c r="BG169" s="155"/>
      <c r="BH169" s="155"/>
      <c r="BI169" s="155"/>
      <c r="BJ169" s="155"/>
      <c r="BK169" s="155"/>
      <c r="BL169" s="155"/>
      <c r="BM169" s="155"/>
      <c r="BN169" s="155"/>
      <c r="BO169" s="155"/>
      <c r="BP169" s="155"/>
    </row>
    <row r="170" spans="1:68" x14ac:dyDescent="0.25">
      <c r="A170" s="149"/>
      <c r="B170" s="149"/>
      <c r="C170" s="149"/>
      <c r="D170" s="149"/>
      <c r="E170" s="149"/>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c r="AJ170" s="155"/>
      <c r="AK170" s="155"/>
      <c r="AL170" s="155"/>
      <c r="AM170" s="155"/>
      <c r="AN170" s="155"/>
      <c r="AO170" s="155"/>
      <c r="AP170" s="155"/>
      <c r="AQ170" s="155"/>
      <c r="AR170" s="155"/>
      <c r="AS170" s="155"/>
      <c r="AT170" s="155"/>
      <c r="AU170" s="155"/>
      <c r="AV170" s="155"/>
      <c r="AW170" s="155"/>
      <c r="AX170" s="155"/>
      <c r="AY170" s="155"/>
      <c r="AZ170" s="155"/>
      <c r="BA170" s="155"/>
      <c r="BB170" s="155"/>
      <c r="BC170" s="155"/>
      <c r="BD170" s="155"/>
      <c r="BE170" s="155"/>
      <c r="BF170" s="155"/>
      <c r="BG170" s="155"/>
      <c r="BH170" s="155"/>
      <c r="BI170" s="155"/>
      <c r="BJ170" s="155"/>
      <c r="BK170" s="155"/>
      <c r="BL170" s="155"/>
      <c r="BM170" s="155"/>
      <c r="BN170" s="155"/>
      <c r="BO170" s="155"/>
      <c r="BP170" s="155"/>
    </row>
    <row r="171" spans="1:68" x14ac:dyDescent="0.25">
      <c r="A171" s="149"/>
      <c r="B171" s="149"/>
      <c r="C171" s="149"/>
      <c r="D171" s="149"/>
      <c r="E171" s="149"/>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c r="AJ171" s="155"/>
      <c r="AK171" s="155"/>
      <c r="AL171" s="155"/>
      <c r="AM171" s="155"/>
      <c r="AN171" s="155"/>
      <c r="AO171" s="155"/>
      <c r="AP171" s="155"/>
      <c r="AQ171" s="155"/>
      <c r="AR171" s="155"/>
      <c r="AS171" s="155"/>
      <c r="AT171" s="155"/>
      <c r="AU171" s="155"/>
      <c r="AV171" s="155"/>
      <c r="AW171" s="155"/>
      <c r="AX171" s="155"/>
      <c r="AY171" s="155"/>
      <c r="AZ171" s="155"/>
      <c r="BA171" s="155"/>
      <c r="BB171" s="155"/>
      <c r="BC171" s="155"/>
      <c r="BD171" s="155"/>
      <c r="BE171" s="155"/>
      <c r="BF171" s="155"/>
      <c r="BG171" s="155"/>
      <c r="BH171" s="155"/>
      <c r="BI171" s="155"/>
      <c r="BJ171" s="155"/>
      <c r="BK171" s="155"/>
      <c r="BL171" s="155"/>
      <c r="BM171" s="155"/>
      <c r="BN171" s="155"/>
      <c r="BO171" s="155"/>
      <c r="BP171" s="155"/>
    </row>
    <row r="172" spans="1:68" s="25" customFormat="1" x14ac:dyDescent="0.25">
      <c r="A172" s="149"/>
      <c r="B172" s="149"/>
      <c r="C172" s="149"/>
      <c r="D172" s="149"/>
      <c r="E172" s="149"/>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row>
    <row r="173" spans="1:68" x14ac:dyDescent="0.25">
      <c r="A173" s="149"/>
      <c r="B173" s="149"/>
      <c r="C173" s="149"/>
      <c r="D173" s="149"/>
      <c r="E173" s="149"/>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c r="AJ173" s="155"/>
      <c r="AK173" s="155"/>
      <c r="AL173" s="155"/>
      <c r="AM173" s="155"/>
      <c r="AN173" s="155"/>
      <c r="AO173" s="155"/>
      <c r="AP173" s="155"/>
      <c r="AQ173" s="155"/>
      <c r="AR173" s="155"/>
      <c r="AS173" s="155"/>
      <c r="AT173" s="155"/>
      <c r="AU173" s="155"/>
      <c r="AV173" s="155"/>
      <c r="AW173" s="155"/>
      <c r="AX173" s="155"/>
      <c r="AY173" s="155"/>
      <c r="AZ173" s="155"/>
      <c r="BA173" s="155"/>
      <c r="BB173" s="155"/>
      <c r="BC173" s="155"/>
      <c r="BD173" s="155"/>
      <c r="BE173" s="155"/>
      <c r="BF173" s="155"/>
      <c r="BG173" s="155"/>
      <c r="BH173" s="155"/>
      <c r="BI173" s="155"/>
      <c r="BJ173" s="155"/>
      <c r="BK173" s="155"/>
      <c r="BL173" s="155"/>
      <c r="BM173" s="155"/>
      <c r="BN173" s="155"/>
      <c r="BO173" s="155"/>
      <c r="BP173" s="155"/>
    </row>
    <row r="174" spans="1:68" x14ac:dyDescent="0.25">
      <c r="A174" s="149"/>
      <c r="B174" s="149"/>
      <c r="C174" s="149"/>
      <c r="D174" s="149"/>
      <c r="E174" s="149"/>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c r="AM174" s="155"/>
      <c r="AN174" s="155"/>
      <c r="AO174" s="155"/>
      <c r="AP174" s="155"/>
      <c r="AQ174" s="155"/>
      <c r="AR174" s="155"/>
      <c r="AS174" s="155"/>
      <c r="AT174" s="155"/>
      <c r="AU174" s="155"/>
      <c r="AV174" s="155"/>
      <c r="AW174" s="155"/>
      <c r="AX174" s="155"/>
      <c r="AY174" s="155"/>
      <c r="AZ174" s="155"/>
      <c r="BA174" s="155"/>
      <c r="BB174" s="155"/>
      <c r="BC174" s="155"/>
      <c r="BD174" s="155"/>
      <c r="BE174" s="155"/>
      <c r="BF174" s="155"/>
      <c r="BG174" s="155"/>
      <c r="BH174" s="155"/>
      <c r="BI174" s="155"/>
      <c r="BJ174" s="155"/>
      <c r="BK174" s="155"/>
      <c r="BL174" s="155"/>
      <c r="BM174" s="155"/>
      <c r="BN174" s="155"/>
      <c r="BO174" s="155"/>
      <c r="BP174" s="155"/>
    </row>
    <row r="175" spans="1:68" x14ac:dyDescent="0.25">
      <c r="A175" s="149"/>
      <c r="B175" s="149"/>
      <c r="C175" s="149"/>
      <c r="D175" s="149"/>
      <c r="E175" s="149"/>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c r="AM175" s="155"/>
      <c r="AN175" s="155"/>
      <c r="AO175" s="155"/>
      <c r="AP175" s="155"/>
      <c r="AQ175" s="155"/>
      <c r="AR175" s="155"/>
      <c r="AS175" s="155"/>
      <c r="AT175" s="155"/>
      <c r="AU175" s="155"/>
      <c r="AV175" s="155"/>
      <c r="AW175" s="155"/>
      <c r="AX175" s="155"/>
      <c r="AY175" s="155"/>
      <c r="AZ175" s="155"/>
      <c r="BA175" s="155"/>
      <c r="BB175" s="155"/>
      <c r="BC175" s="155"/>
      <c r="BD175" s="155"/>
      <c r="BE175" s="155"/>
      <c r="BF175" s="155"/>
      <c r="BG175" s="155"/>
      <c r="BH175" s="155"/>
      <c r="BI175" s="155"/>
      <c r="BJ175" s="155"/>
      <c r="BK175" s="155"/>
      <c r="BL175" s="155"/>
      <c r="BM175" s="155"/>
      <c r="BN175" s="155"/>
      <c r="BO175" s="155"/>
      <c r="BP175" s="155"/>
    </row>
    <row r="176" spans="1:68" x14ac:dyDescent="0.25">
      <c r="A176" s="149"/>
      <c r="B176" s="149"/>
      <c r="C176" s="149"/>
      <c r="D176" s="149"/>
      <c r="E176" s="149"/>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5"/>
      <c r="AK176" s="155"/>
      <c r="AL176" s="155"/>
      <c r="AM176" s="155"/>
      <c r="AN176" s="155"/>
      <c r="AO176" s="155"/>
      <c r="AP176" s="155"/>
      <c r="AQ176" s="155"/>
      <c r="AR176" s="155"/>
      <c r="AS176" s="155"/>
      <c r="AT176" s="155"/>
      <c r="AU176" s="155"/>
      <c r="AV176" s="155"/>
      <c r="AW176" s="155"/>
      <c r="AX176" s="155"/>
      <c r="AY176" s="155"/>
      <c r="AZ176" s="155"/>
      <c r="BA176" s="155"/>
      <c r="BB176" s="155"/>
      <c r="BC176" s="155"/>
      <c r="BD176" s="155"/>
      <c r="BE176" s="155"/>
      <c r="BF176" s="155"/>
      <c r="BG176" s="155"/>
      <c r="BH176" s="155"/>
      <c r="BI176" s="155"/>
      <c r="BJ176" s="155"/>
      <c r="BK176" s="155"/>
      <c r="BL176" s="155"/>
      <c r="BM176" s="155"/>
      <c r="BN176" s="155"/>
      <c r="BO176" s="155"/>
      <c r="BP176" s="155"/>
    </row>
    <row r="177" spans="1:68" x14ac:dyDescent="0.25">
      <c r="A177" s="149"/>
      <c r="B177" s="149"/>
      <c r="C177" s="149"/>
      <c r="D177" s="149"/>
      <c r="E177" s="149"/>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5"/>
      <c r="AQ177" s="155"/>
      <c r="AR177" s="155"/>
      <c r="AS177" s="155"/>
      <c r="AT177" s="155"/>
      <c r="AU177" s="155"/>
      <c r="AV177" s="155"/>
      <c r="AW177" s="155"/>
      <c r="AX177" s="155"/>
      <c r="AY177" s="155"/>
      <c r="AZ177" s="155"/>
      <c r="BA177" s="155"/>
      <c r="BB177" s="155"/>
      <c r="BC177" s="155"/>
      <c r="BD177" s="155"/>
      <c r="BE177" s="155"/>
      <c r="BF177" s="155"/>
      <c r="BG177" s="155"/>
      <c r="BH177" s="155"/>
      <c r="BI177" s="155"/>
      <c r="BJ177" s="155"/>
      <c r="BK177" s="155"/>
      <c r="BL177" s="155"/>
      <c r="BM177" s="155"/>
      <c r="BN177" s="155"/>
      <c r="BO177" s="155"/>
      <c r="BP177" s="155"/>
    </row>
    <row r="178" spans="1:68" x14ac:dyDescent="0.25">
      <c r="A178" s="149"/>
      <c r="B178" s="149"/>
      <c r="C178" s="149"/>
      <c r="D178" s="149"/>
      <c r="E178" s="149"/>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c r="AJ178" s="155"/>
      <c r="AK178" s="155"/>
      <c r="AL178" s="155"/>
      <c r="AM178" s="155"/>
      <c r="AN178" s="155"/>
      <c r="AO178" s="155"/>
      <c r="AP178" s="155"/>
      <c r="AQ178" s="155"/>
      <c r="AR178" s="155"/>
      <c r="AS178" s="155"/>
      <c r="AT178" s="155"/>
      <c r="AU178" s="155"/>
      <c r="AV178" s="155"/>
      <c r="AW178" s="155"/>
      <c r="AX178" s="155"/>
      <c r="AY178" s="155"/>
      <c r="AZ178" s="155"/>
      <c r="BA178" s="155"/>
      <c r="BB178" s="155"/>
      <c r="BC178" s="155"/>
      <c r="BD178" s="155"/>
      <c r="BE178" s="155"/>
      <c r="BF178" s="155"/>
      <c r="BG178" s="155"/>
      <c r="BH178" s="155"/>
      <c r="BI178" s="155"/>
      <c r="BJ178" s="155"/>
      <c r="BK178" s="155"/>
      <c r="BL178" s="155"/>
      <c r="BM178" s="155"/>
      <c r="BN178" s="155"/>
      <c r="BO178" s="155"/>
      <c r="BP178" s="155"/>
    </row>
    <row r="179" spans="1:68" x14ac:dyDescent="0.25">
      <c r="A179" s="149"/>
      <c r="B179" s="149"/>
      <c r="C179" s="149"/>
      <c r="D179" s="149"/>
      <c r="E179" s="149"/>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c r="AJ179" s="155"/>
      <c r="AK179" s="155"/>
      <c r="AL179" s="155"/>
      <c r="AM179" s="155"/>
      <c r="AN179" s="155"/>
      <c r="AO179" s="155"/>
      <c r="AP179" s="155"/>
      <c r="AQ179" s="155"/>
      <c r="AR179" s="155"/>
      <c r="AS179" s="155"/>
      <c r="AT179" s="155"/>
      <c r="AU179" s="155"/>
      <c r="AV179" s="155"/>
      <c r="AW179" s="155"/>
      <c r="AX179" s="155"/>
      <c r="AY179" s="155"/>
      <c r="AZ179" s="155"/>
      <c r="BA179" s="155"/>
      <c r="BB179" s="155"/>
      <c r="BC179" s="155"/>
      <c r="BD179" s="155"/>
      <c r="BE179" s="155"/>
      <c r="BF179" s="155"/>
      <c r="BG179" s="155"/>
      <c r="BH179" s="155"/>
      <c r="BI179" s="155"/>
      <c r="BJ179" s="155"/>
      <c r="BK179" s="155"/>
      <c r="BL179" s="155"/>
      <c r="BM179" s="155"/>
      <c r="BN179" s="155"/>
      <c r="BO179" s="155"/>
      <c r="BP179" s="155"/>
    </row>
    <row r="180" spans="1:68" x14ac:dyDescent="0.25">
      <c r="A180" s="149"/>
      <c r="B180" s="149"/>
      <c r="C180" s="149"/>
      <c r="D180" s="149"/>
      <c r="E180" s="149"/>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c r="AX180" s="155"/>
      <c r="AY180" s="155"/>
      <c r="AZ180" s="155"/>
      <c r="BA180" s="155"/>
      <c r="BB180" s="155"/>
      <c r="BC180" s="155"/>
      <c r="BD180" s="155"/>
      <c r="BE180" s="155"/>
      <c r="BF180" s="155"/>
      <c r="BG180" s="155"/>
      <c r="BH180" s="155"/>
      <c r="BI180" s="155"/>
      <c r="BJ180" s="155"/>
      <c r="BK180" s="155"/>
      <c r="BL180" s="155"/>
      <c r="BM180" s="155"/>
      <c r="BN180" s="155"/>
      <c r="BO180" s="155"/>
      <c r="BP180" s="155"/>
    </row>
    <row r="181" spans="1:68" x14ac:dyDescent="0.25">
      <c r="A181" s="149"/>
      <c r="B181" s="149"/>
      <c r="C181" s="149"/>
      <c r="D181" s="149"/>
      <c r="E181" s="149"/>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c r="AJ181" s="155"/>
      <c r="AK181" s="155"/>
      <c r="AL181" s="155"/>
      <c r="AM181" s="155"/>
      <c r="AN181" s="155"/>
      <c r="AO181" s="155"/>
      <c r="AP181" s="155"/>
      <c r="AQ181" s="155"/>
      <c r="AR181" s="155"/>
      <c r="AS181" s="155"/>
      <c r="AT181" s="155"/>
      <c r="AU181" s="155"/>
      <c r="AV181" s="155"/>
      <c r="AW181" s="155"/>
      <c r="AX181" s="155"/>
      <c r="AY181" s="155"/>
      <c r="AZ181" s="155"/>
      <c r="BA181" s="155"/>
      <c r="BB181" s="155"/>
      <c r="BC181" s="155"/>
      <c r="BD181" s="155"/>
      <c r="BE181" s="155"/>
      <c r="BF181" s="155"/>
      <c r="BG181" s="155"/>
      <c r="BH181" s="155"/>
      <c r="BI181" s="155"/>
      <c r="BJ181" s="155"/>
      <c r="BK181" s="155"/>
      <c r="BL181" s="155"/>
      <c r="BM181" s="155"/>
      <c r="BN181" s="155"/>
      <c r="BO181" s="155"/>
      <c r="BP181" s="155"/>
    </row>
    <row r="182" spans="1:68" x14ac:dyDescent="0.25">
      <c r="A182" s="149"/>
      <c r="B182" s="149"/>
      <c r="C182" s="149"/>
      <c r="D182" s="149"/>
      <c r="E182" s="149"/>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c r="AM182" s="155"/>
      <c r="AN182" s="155"/>
      <c r="AO182" s="155"/>
      <c r="AP182" s="155"/>
      <c r="AQ182" s="155"/>
      <c r="AR182" s="155"/>
      <c r="AS182" s="155"/>
      <c r="AT182" s="155"/>
      <c r="AU182" s="155"/>
      <c r="AV182" s="155"/>
      <c r="AW182" s="155"/>
      <c r="AX182" s="155"/>
      <c r="AY182" s="155"/>
      <c r="AZ182" s="155"/>
      <c r="BA182" s="155"/>
      <c r="BB182" s="155"/>
      <c r="BC182" s="155"/>
      <c r="BD182" s="155"/>
      <c r="BE182" s="155"/>
      <c r="BF182" s="155"/>
      <c r="BG182" s="155"/>
      <c r="BH182" s="155"/>
      <c r="BI182" s="155"/>
      <c r="BJ182" s="155"/>
      <c r="BK182" s="155"/>
      <c r="BL182" s="155"/>
      <c r="BM182" s="155"/>
      <c r="BN182" s="155"/>
      <c r="BO182" s="155"/>
      <c r="BP182" s="155"/>
    </row>
    <row r="183" spans="1:68" x14ac:dyDescent="0.25">
      <c r="A183" s="149"/>
      <c r="B183" s="149"/>
      <c r="C183" s="149"/>
      <c r="D183" s="149"/>
      <c r="E183" s="149"/>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5"/>
      <c r="AJ183" s="155"/>
      <c r="AK183" s="155"/>
      <c r="AL183" s="155"/>
      <c r="AM183" s="155"/>
      <c r="AN183" s="155"/>
      <c r="AO183" s="155"/>
      <c r="AP183" s="155"/>
      <c r="AQ183" s="155"/>
      <c r="AR183" s="155"/>
      <c r="AS183" s="155"/>
      <c r="AT183" s="155"/>
      <c r="AU183" s="155"/>
      <c r="AV183" s="155"/>
      <c r="AW183" s="155"/>
      <c r="AX183" s="155"/>
      <c r="AY183" s="155"/>
      <c r="AZ183" s="155"/>
      <c r="BA183" s="155"/>
      <c r="BB183" s="155"/>
      <c r="BC183" s="155"/>
      <c r="BD183" s="155"/>
      <c r="BE183" s="155"/>
      <c r="BF183" s="155"/>
      <c r="BG183" s="155"/>
      <c r="BH183" s="155"/>
      <c r="BI183" s="155"/>
      <c r="BJ183" s="155"/>
      <c r="BK183" s="155"/>
      <c r="BL183" s="155"/>
      <c r="BM183" s="155"/>
      <c r="BN183" s="155"/>
      <c r="BO183" s="155"/>
      <c r="BP183" s="155"/>
    </row>
    <row r="184" spans="1:68" x14ac:dyDescent="0.25">
      <c r="A184" s="149"/>
      <c r="B184" s="149"/>
      <c r="C184" s="149"/>
      <c r="D184" s="149"/>
      <c r="E184" s="149"/>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c r="AG184" s="155"/>
      <c r="AH184" s="155"/>
      <c r="AI184" s="155"/>
      <c r="AJ184" s="155"/>
      <c r="AK184" s="155"/>
      <c r="AL184" s="155"/>
      <c r="AM184" s="155"/>
      <c r="AN184" s="155"/>
      <c r="AO184" s="155"/>
      <c r="AP184" s="155"/>
      <c r="AQ184" s="155"/>
      <c r="AR184" s="155"/>
      <c r="AS184" s="155"/>
      <c r="AT184" s="155"/>
      <c r="AU184" s="155"/>
      <c r="AV184" s="155"/>
      <c r="AW184" s="155"/>
      <c r="AX184" s="155"/>
      <c r="AY184" s="155"/>
      <c r="AZ184" s="155"/>
      <c r="BA184" s="155"/>
      <c r="BB184" s="155"/>
      <c r="BC184" s="155"/>
      <c r="BD184" s="155"/>
      <c r="BE184" s="155"/>
      <c r="BF184" s="155"/>
      <c r="BG184" s="155"/>
      <c r="BH184" s="155"/>
      <c r="BI184" s="155"/>
      <c r="BJ184" s="155"/>
      <c r="BK184" s="155"/>
      <c r="BL184" s="155"/>
      <c r="BM184" s="155"/>
      <c r="BN184" s="155"/>
      <c r="BO184" s="155"/>
      <c r="BP184" s="155"/>
    </row>
    <row r="185" spans="1:68" x14ac:dyDescent="0.25">
      <c r="A185" s="149"/>
      <c r="B185" s="149"/>
      <c r="C185" s="149"/>
      <c r="D185" s="149"/>
      <c r="E185" s="149"/>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55"/>
      <c r="AK185" s="155"/>
      <c r="AL185" s="155"/>
      <c r="AM185" s="155"/>
      <c r="AN185" s="155"/>
      <c r="AO185" s="155"/>
      <c r="AP185" s="155"/>
      <c r="AQ185" s="155"/>
      <c r="AR185" s="155"/>
      <c r="AS185" s="155"/>
      <c r="AT185" s="155"/>
      <c r="AU185" s="155"/>
      <c r="AV185" s="155"/>
      <c r="AW185" s="155"/>
      <c r="AX185" s="155"/>
      <c r="AY185" s="155"/>
      <c r="AZ185" s="155"/>
      <c r="BA185" s="155"/>
      <c r="BB185" s="155"/>
      <c r="BC185" s="155"/>
      <c r="BD185" s="155"/>
      <c r="BE185" s="155"/>
      <c r="BF185" s="155"/>
      <c r="BG185" s="155"/>
      <c r="BH185" s="155"/>
      <c r="BI185" s="155"/>
      <c r="BJ185" s="155"/>
      <c r="BK185" s="155"/>
      <c r="BL185" s="155"/>
      <c r="BM185" s="155"/>
      <c r="BN185" s="155"/>
      <c r="BO185" s="155"/>
      <c r="BP185" s="155"/>
    </row>
    <row r="186" spans="1:68" x14ac:dyDescent="0.25">
      <c r="A186" s="149"/>
      <c r="B186" s="149"/>
      <c r="C186" s="149"/>
      <c r="D186" s="149"/>
      <c r="E186" s="149"/>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c r="AJ186" s="155"/>
      <c r="AK186" s="155"/>
      <c r="AL186" s="155"/>
      <c r="AM186" s="155"/>
      <c r="AN186" s="155"/>
      <c r="AO186" s="155"/>
      <c r="AP186" s="155"/>
      <c r="AQ186" s="155"/>
      <c r="AR186" s="155"/>
      <c r="AS186" s="155"/>
      <c r="AT186" s="155"/>
      <c r="AU186" s="155"/>
      <c r="AV186" s="155"/>
      <c r="AW186" s="155"/>
      <c r="AX186" s="155"/>
      <c r="AY186" s="155"/>
      <c r="AZ186" s="155"/>
      <c r="BA186" s="155"/>
      <c r="BB186" s="155"/>
      <c r="BC186" s="155"/>
      <c r="BD186" s="155"/>
      <c r="BE186" s="155"/>
      <c r="BF186" s="155"/>
      <c r="BG186" s="155"/>
      <c r="BH186" s="155"/>
      <c r="BI186" s="155"/>
      <c r="BJ186" s="155"/>
      <c r="BK186" s="155"/>
      <c r="BL186" s="155"/>
      <c r="BM186" s="155"/>
      <c r="BN186" s="155"/>
      <c r="BO186" s="155"/>
      <c r="BP186" s="155"/>
    </row>
    <row r="187" spans="1:68" x14ac:dyDescent="0.25">
      <c r="A187" s="149"/>
      <c r="B187" s="149"/>
      <c r="C187" s="149"/>
      <c r="D187" s="149"/>
      <c r="E187" s="149"/>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5"/>
      <c r="AJ187" s="155"/>
      <c r="AK187" s="155"/>
      <c r="AL187" s="155"/>
      <c r="AM187" s="155"/>
      <c r="AN187" s="155"/>
      <c r="AO187" s="155"/>
      <c r="AP187" s="155"/>
      <c r="AQ187" s="155"/>
      <c r="AR187" s="155"/>
      <c r="AS187" s="155"/>
      <c r="AT187" s="155"/>
      <c r="AU187" s="155"/>
      <c r="AV187" s="155"/>
      <c r="AW187" s="155"/>
      <c r="AX187" s="155"/>
      <c r="AY187" s="155"/>
      <c r="AZ187" s="155"/>
      <c r="BA187" s="155"/>
      <c r="BB187" s="155"/>
      <c r="BC187" s="155"/>
      <c r="BD187" s="155"/>
      <c r="BE187" s="155"/>
      <c r="BF187" s="155"/>
      <c r="BG187" s="155"/>
      <c r="BH187" s="155"/>
      <c r="BI187" s="155"/>
      <c r="BJ187" s="155"/>
      <c r="BK187" s="155"/>
      <c r="BL187" s="155"/>
      <c r="BM187" s="155"/>
      <c r="BN187" s="155"/>
      <c r="BO187" s="155"/>
      <c r="BP187" s="155"/>
    </row>
    <row r="188" spans="1:68" x14ac:dyDescent="0.25">
      <c r="A188" s="149"/>
      <c r="B188" s="149"/>
      <c r="C188" s="149"/>
      <c r="D188" s="149"/>
      <c r="E188" s="149"/>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c r="AJ188" s="155"/>
      <c r="AK188" s="155"/>
      <c r="AL188" s="155"/>
      <c r="AM188" s="155"/>
      <c r="AN188" s="155"/>
      <c r="AO188" s="155"/>
      <c r="AP188" s="155"/>
      <c r="AQ188" s="155"/>
      <c r="AR188" s="155"/>
      <c r="AS188" s="155"/>
      <c r="AT188" s="155"/>
      <c r="AU188" s="155"/>
      <c r="AV188" s="155"/>
      <c r="AW188" s="155"/>
      <c r="AX188" s="155"/>
      <c r="AY188" s="155"/>
      <c r="AZ188" s="155"/>
      <c r="BA188" s="155"/>
      <c r="BB188" s="155"/>
      <c r="BC188" s="155"/>
      <c r="BD188" s="155"/>
      <c r="BE188" s="155"/>
      <c r="BF188" s="155"/>
      <c r="BG188" s="155"/>
      <c r="BH188" s="155"/>
      <c r="BI188" s="155"/>
      <c r="BJ188" s="155"/>
      <c r="BK188" s="155"/>
      <c r="BL188" s="155"/>
      <c r="BM188" s="155"/>
      <c r="BN188" s="155"/>
      <c r="BO188" s="155"/>
      <c r="BP188" s="155"/>
    </row>
    <row r="189" spans="1:68" x14ac:dyDescent="0.25">
      <c r="A189" s="149"/>
      <c r="B189" s="149"/>
      <c r="C189" s="149"/>
      <c r="D189" s="149"/>
      <c r="E189" s="149"/>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c r="AL189" s="155"/>
      <c r="AM189" s="155"/>
      <c r="AN189" s="155"/>
      <c r="AO189" s="155"/>
      <c r="AP189" s="155"/>
      <c r="AQ189" s="155"/>
      <c r="AR189" s="155"/>
      <c r="AS189" s="155"/>
      <c r="AT189" s="155"/>
      <c r="AU189" s="155"/>
      <c r="AV189" s="155"/>
      <c r="AW189" s="155"/>
      <c r="AX189" s="155"/>
      <c r="AY189" s="155"/>
      <c r="AZ189" s="155"/>
      <c r="BA189" s="155"/>
      <c r="BB189" s="155"/>
      <c r="BC189" s="155"/>
      <c r="BD189" s="155"/>
      <c r="BE189" s="155"/>
      <c r="BF189" s="155"/>
      <c r="BG189" s="155"/>
      <c r="BH189" s="155"/>
      <c r="BI189" s="155"/>
      <c r="BJ189" s="155"/>
      <c r="BK189" s="155"/>
      <c r="BL189" s="155"/>
      <c r="BM189" s="155"/>
      <c r="BN189" s="155"/>
      <c r="BO189" s="155"/>
      <c r="BP189" s="155"/>
    </row>
    <row r="190" spans="1:68" x14ac:dyDescent="0.25">
      <c r="A190" s="149"/>
      <c r="B190" s="149"/>
      <c r="C190" s="149"/>
      <c r="D190" s="149"/>
      <c r="E190" s="149"/>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c r="AL190" s="155"/>
      <c r="AM190" s="155"/>
      <c r="AN190" s="155"/>
      <c r="AO190" s="155"/>
      <c r="AP190" s="155"/>
      <c r="AQ190" s="155"/>
      <c r="AR190" s="155"/>
      <c r="AS190" s="155"/>
      <c r="AT190" s="155"/>
      <c r="AU190" s="155"/>
      <c r="AV190" s="155"/>
      <c r="AW190" s="155"/>
      <c r="AX190" s="155"/>
      <c r="AY190" s="155"/>
      <c r="AZ190" s="155"/>
      <c r="BA190" s="155"/>
      <c r="BB190" s="155"/>
      <c r="BC190" s="155"/>
      <c r="BD190" s="155"/>
      <c r="BE190" s="155"/>
      <c r="BF190" s="155"/>
      <c r="BG190" s="155"/>
      <c r="BH190" s="155"/>
      <c r="BI190" s="155"/>
      <c r="BJ190" s="155"/>
      <c r="BK190" s="155"/>
      <c r="BL190" s="155"/>
      <c r="BM190" s="155"/>
      <c r="BN190" s="155"/>
      <c r="BO190" s="155"/>
      <c r="BP190" s="155"/>
    </row>
    <row r="191" spans="1:68" x14ac:dyDescent="0.25">
      <c r="A191" s="149"/>
      <c r="B191" s="149"/>
      <c r="C191" s="149"/>
      <c r="D191" s="149"/>
      <c r="E191" s="149"/>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c r="AL191" s="155"/>
      <c r="AM191" s="155"/>
      <c r="AN191" s="155"/>
      <c r="AO191" s="155"/>
      <c r="AP191" s="155"/>
      <c r="AQ191" s="155"/>
      <c r="AR191" s="155"/>
      <c r="AS191" s="155"/>
      <c r="AT191" s="155"/>
      <c r="AU191" s="155"/>
      <c r="AV191" s="155"/>
      <c r="AW191" s="155"/>
      <c r="AX191" s="155"/>
      <c r="AY191" s="155"/>
      <c r="AZ191" s="155"/>
      <c r="BA191" s="155"/>
      <c r="BB191" s="155"/>
      <c r="BC191" s="155"/>
      <c r="BD191" s="155"/>
      <c r="BE191" s="155"/>
      <c r="BF191" s="155"/>
      <c r="BG191" s="155"/>
      <c r="BH191" s="155"/>
      <c r="BI191" s="155"/>
      <c r="BJ191" s="155"/>
      <c r="BK191" s="155"/>
      <c r="BL191" s="155"/>
      <c r="BM191" s="155"/>
      <c r="BN191" s="155"/>
      <c r="BO191" s="155"/>
      <c r="BP191" s="155"/>
    </row>
    <row r="192" spans="1:68" x14ac:dyDescent="0.25">
      <c r="A192" s="149"/>
      <c r="B192" s="149"/>
      <c r="C192" s="149"/>
      <c r="D192" s="149"/>
      <c r="E192" s="149"/>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c r="AL192" s="155"/>
      <c r="AM192" s="155"/>
      <c r="AN192" s="155"/>
      <c r="AO192" s="155"/>
      <c r="AP192" s="155"/>
      <c r="AQ192" s="155"/>
      <c r="AR192" s="155"/>
      <c r="AS192" s="155"/>
      <c r="AT192" s="155"/>
      <c r="AU192" s="155"/>
      <c r="AV192" s="155"/>
      <c r="AW192" s="155"/>
      <c r="AX192" s="155"/>
      <c r="AY192" s="155"/>
      <c r="AZ192" s="155"/>
      <c r="BA192" s="155"/>
      <c r="BB192" s="155"/>
      <c r="BC192" s="155"/>
      <c r="BD192" s="155"/>
      <c r="BE192" s="155"/>
      <c r="BF192" s="155"/>
      <c r="BG192" s="155"/>
      <c r="BH192" s="155"/>
      <c r="BI192" s="155"/>
      <c r="BJ192" s="155"/>
      <c r="BK192" s="155"/>
      <c r="BL192" s="155"/>
      <c r="BM192" s="155"/>
      <c r="BN192" s="155"/>
      <c r="BO192" s="155"/>
      <c r="BP192" s="155"/>
    </row>
    <row r="193" spans="1:68" x14ac:dyDescent="0.25">
      <c r="A193" s="149"/>
      <c r="B193" s="149"/>
      <c r="C193" s="149"/>
      <c r="D193" s="149"/>
      <c r="E193" s="149"/>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5"/>
      <c r="AQ193" s="155"/>
      <c r="AR193" s="155"/>
      <c r="AS193" s="155"/>
      <c r="AT193" s="155"/>
      <c r="AU193" s="155"/>
      <c r="AV193" s="155"/>
      <c r="AW193" s="155"/>
      <c r="AX193" s="155"/>
      <c r="AY193" s="155"/>
      <c r="AZ193" s="155"/>
      <c r="BA193" s="155"/>
      <c r="BB193" s="155"/>
      <c r="BC193" s="155"/>
      <c r="BD193" s="155"/>
      <c r="BE193" s="155"/>
      <c r="BF193" s="155"/>
      <c r="BG193" s="155"/>
      <c r="BH193" s="155"/>
      <c r="BI193" s="155"/>
      <c r="BJ193" s="155"/>
      <c r="BK193" s="155"/>
      <c r="BL193" s="155"/>
      <c r="BM193" s="155"/>
      <c r="BN193" s="155"/>
      <c r="BO193" s="155"/>
      <c r="BP193" s="155"/>
    </row>
    <row r="194" spans="1:68" x14ac:dyDescent="0.25">
      <c r="A194" s="149"/>
      <c r="B194" s="149"/>
      <c r="C194" s="149"/>
      <c r="D194" s="149"/>
      <c r="E194" s="149"/>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c r="AL194" s="155"/>
      <c r="AM194" s="155"/>
      <c r="AN194" s="155"/>
      <c r="AO194" s="155"/>
      <c r="AP194" s="155"/>
      <c r="AQ194" s="155"/>
      <c r="AR194" s="155"/>
      <c r="AS194" s="155"/>
      <c r="AT194" s="155"/>
      <c r="AU194" s="155"/>
      <c r="AV194" s="155"/>
      <c r="AW194" s="155"/>
      <c r="AX194" s="155"/>
      <c r="AY194" s="155"/>
      <c r="AZ194" s="155"/>
      <c r="BA194" s="155"/>
      <c r="BB194" s="155"/>
      <c r="BC194" s="155"/>
      <c r="BD194" s="155"/>
      <c r="BE194" s="155"/>
      <c r="BF194" s="155"/>
      <c r="BG194" s="155"/>
      <c r="BH194" s="155"/>
      <c r="BI194" s="155"/>
      <c r="BJ194" s="155"/>
      <c r="BK194" s="155"/>
      <c r="BL194" s="155"/>
      <c r="BM194" s="155"/>
      <c r="BN194" s="155"/>
      <c r="BO194" s="155"/>
      <c r="BP194" s="155"/>
    </row>
    <row r="195" spans="1:68" x14ac:dyDescent="0.25">
      <c r="A195" s="149"/>
      <c r="B195" s="149"/>
      <c r="C195" s="149"/>
      <c r="D195" s="149"/>
      <c r="E195" s="149"/>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c r="AM195" s="155"/>
      <c r="AN195" s="155"/>
      <c r="AO195" s="155"/>
      <c r="AP195" s="155"/>
      <c r="AQ195" s="155"/>
      <c r="AR195" s="155"/>
      <c r="AS195" s="155"/>
      <c r="AT195" s="155"/>
      <c r="AU195" s="155"/>
      <c r="AV195" s="155"/>
      <c r="AW195" s="155"/>
      <c r="AX195" s="155"/>
      <c r="AY195" s="155"/>
      <c r="AZ195" s="155"/>
      <c r="BA195" s="155"/>
      <c r="BB195" s="155"/>
      <c r="BC195" s="155"/>
      <c r="BD195" s="155"/>
      <c r="BE195" s="155"/>
      <c r="BF195" s="155"/>
      <c r="BG195" s="155"/>
      <c r="BH195" s="155"/>
      <c r="BI195" s="155"/>
      <c r="BJ195" s="155"/>
      <c r="BK195" s="155"/>
      <c r="BL195" s="155"/>
      <c r="BM195" s="155"/>
      <c r="BN195" s="155"/>
      <c r="BO195" s="155"/>
      <c r="BP195" s="155"/>
    </row>
    <row r="196" spans="1:68" x14ac:dyDescent="0.25">
      <c r="A196" s="149"/>
      <c r="B196" s="149"/>
      <c r="C196" s="149"/>
      <c r="D196" s="149"/>
      <c r="E196" s="149"/>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c r="AH196" s="155"/>
      <c r="AI196" s="155"/>
      <c r="AJ196" s="155"/>
      <c r="AK196" s="155"/>
      <c r="AL196" s="155"/>
      <c r="AM196" s="155"/>
      <c r="AN196" s="155"/>
      <c r="AO196" s="155"/>
      <c r="AP196" s="155"/>
      <c r="AQ196" s="155"/>
      <c r="AR196" s="155"/>
      <c r="AS196" s="155"/>
      <c r="AT196" s="155"/>
      <c r="AU196" s="155"/>
      <c r="AV196" s="155"/>
      <c r="AW196" s="155"/>
      <c r="AX196" s="155"/>
      <c r="AY196" s="155"/>
      <c r="AZ196" s="155"/>
      <c r="BA196" s="155"/>
      <c r="BB196" s="155"/>
      <c r="BC196" s="155"/>
      <c r="BD196" s="155"/>
      <c r="BE196" s="155"/>
      <c r="BF196" s="155"/>
      <c r="BG196" s="155"/>
      <c r="BH196" s="155"/>
      <c r="BI196" s="155"/>
      <c r="BJ196" s="155"/>
      <c r="BK196" s="155"/>
      <c r="BL196" s="155"/>
      <c r="BM196" s="155"/>
      <c r="BN196" s="155"/>
      <c r="BO196" s="155"/>
      <c r="BP196" s="155"/>
    </row>
    <row r="197" spans="1:68" x14ac:dyDescent="0.25">
      <c r="A197" s="149"/>
      <c r="B197" s="149"/>
      <c r="C197" s="149"/>
      <c r="D197" s="149"/>
      <c r="E197" s="149"/>
      <c r="F197" s="155"/>
      <c r="G197" s="155"/>
      <c r="H197" s="155"/>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c r="AJ197" s="155"/>
      <c r="AK197" s="155"/>
      <c r="AL197" s="155"/>
      <c r="AM197" s="155"/>
      <c r="AN197" s="155"/>
      <c r="AO197" s="155"/>
      <c r="AP197" s="155"/>
      <c r="AQ197" s="155"/>
      <c r="AR197" s="155"/>
      <c r="AS197" s="155"/>
      <c r="AT197" s="155"/>
      <c r="AU197" s="155"/>
      <c r="AV197" s="155"/>
      <c r="AW197" s="155"/>
      <c r="AX197" s="155"/>
      <c r="AY197" s="155"/>
      <c r="AZ197" s="155"/>
      <c r="BA197" s="155"/>
      <c r="BB197" s="155"/>
      <c r="BC197" s="155"/>
      <c r="BD197" s="155"/>
      <c r="BE197" s="155"/>
      <c r="BF197" s="155"/>
      <c r="BG197" s="155"/>
      <c r="BH197" s="155"/>
      <c r="BI197" s="155"/>
      <c r="BJ197" s="155"/>
      <c r="BK197" s="155"/>
      <c r="BL197" s="155"/>
      <c r="BM197" s="155"/>
      <c r="BN197" s="155"/>
      <c r="BO197" s="155"/>
      <c r="BP197" s="155"/>
    </row>
    <row r="198" spans="1:68" x14ac:dyDescent="0.25">
      <c r="A198" s="149"/>
      <c r="B198" s="149"/>
      <c r="C198" s="149"/>
      <c r="D198" s="149"/>
      <c r="E198" s="149"/>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55"/>
      <c r="AK198" s="155"/>
      <c r="AL198" s="155"/>
      <c r="AM198" s="155"/>
      <c r="AN198" s="155"/>
      <c r="AO198" s="155"/>
      <c r="AP198" s="155"/>
      <c r="AQ198" s="155"/>
      <c r="AR198" s="155"/>
      <c r="AS198" s="155"/>
      <c r="AT198" s="155"/>
      <c r="AU198" s="155"/>
      <c r="AV198" s="155"/>
      <c r="AW198" s="155"/>
      <c r="AX198" s="155"/>
      <c r="AY198" s="155"/>
      <c r="AZ198" s="155"/>
      <c r="BA198" s="155"/>
      <c r="BB198" s="155"/>
      <c r="BC198" s="155"/>
      <c r="BD198" s="155"/>
      <c r="BE198" s="155"/>
      <c r="BF198" s="155"/>
      <c r="BG198" s="155"/>
      <c r="BH198" s="155"/>
      <c r="BI198" s="155"/>
      <c r="BJ198" s="155"/>
      <c r="BK198" s="155"/>
      <c r="BL198" s="155"/>
      <c r="BM198" s="155"/>
      <c r="BN198" s="155"/>
      <c r="BO198" s="155"/>
      <c r="BP198" s="155"/>
    </row>
    <row r="199" spans="1:68" x14ac:dyDescent="0.25">
      <c r="A199" s="149"/>
      <c r="B199" s="149"/>
      <c r="C199" s="149"/>
      <c r="D199" s="149"/>
      <c r="E199" s="149"/>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c r="AL199" s="155"/>
      <c r="AM199" s="155"/>
      <c r="AN199" s="155"/>
      <c r="AO199" s="155"/>
      <c r="AP199" s="155"/>
      <c r="AQ199" s="155"/>
      <c r="AR199" s="155"/>
      <c r="AS199" s="155"/>
      <c r="AT199" s="155"/>
      <c r="AU199" s="155"/>
      <c r="AV199" s="155"/>
      <c r="AW199" s="155"/>
      <c r="AX199" s="155"/>
      <c r="AY199" s="155"/>
      <c r="AZ199" s="155"/>
      <c r="BA199" s="155"/>
      <c r="BB199" s="155"/>
      <c r="BC199" s="155"/>
      <c r="BD199" s="155"/>
      <c r="BE199" s="155"/>
      <c r="BF199" s="155"/>
      <c r="BG199" s="155"/>
      <c r="BH199" s="155"/>
      <c r="BI199" s="155"/>
      <c r="BJ199" s="155"/>
      <c r="BK199" s="155"/>
      <c r="BL199" s="155"/>
      <c r="BM199" s="155"/>
      <c r="BN199" s="155"/>
      <c r="BO199" s="155"/>
      <c r="BP199" s="155"/>
    </row>
    <row r="200" spans="1:68" x14ac:dyDescent="0.25">
      <c r="A200" s="149"/>
      <c r="B200" s="149"/>
      <c r="C200" s="149"/>
      <c r="D200" s="149"/>
      <c r="E200" s="149"/>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c r="AJ200" s="155"/>
      <c r="AK200" s="155"/>
      <c r="AL200" s="155"/>
      <c r="AM200" s="155"/>
      <c r="AN200" s="155"/>
      <c r="AO200" s="155"/>
      <c r="AP200" s="155"/>
      <c r="AQ200" s="155"/>
      <c r="AR200" s="155"/>
      <c r="AS200" s="155"/>
      <c r="AT200" s="155"/>
      <c r="AU200" s="155"/>
      <c r="AV200" s="155"/>
      <c r="AW200" s="155"/>
      <c r="AX200" s="155"/>
      <c r="AY200" s="155"/>
      <c r="AZ200" s="155"/>
      <c r="BA200" s="155"/>
      <c r="BB200" s="155"/>
      <c r="BC200" s="155"/>
      <c r="BD200" s="155"/>
      <c r="BE200" s="155"/>
      <c r="BF200" s="155"/>
      <c r="BG200" s="155"/>
      <c r="BH200" s="155"/>
      <c r="BI200" s="155"/>
      <c r="BJ200" s="155"/>
      <c r="BK200" s="155"/>
      <c r="BL200" s="155"/>
      <c r="BM200" s="155"/>
      <c r="BN200" s="155"/>
      <c r="BO200" s="155"/>
      <c r="BP200" s="155"/>
    </row>
    <row r="201" spans="1:68" x14ac:dyDescent="0.25">
      <c r="A201" s="149"/>
      <c r="B201" s="149"/>
      <c r="C201" s="149"/>
      <c r="D201" s="149"/>
      <c r="E201" s="149"/>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c r="AJ201" s="155"/>
      <c r="AK201" s="155"/>
      <c r="AL201" s="155"/>
      <c r="AM201" s="155"/>
      <c r="AN201" s="155"/>
      <c r="AO201" s="155"/>
      <c r="AP201" s="155"/>
      <c r="AQ201" s="155"/>
      <c r="AR201" s="155"/>
      <c r="AS201" s="155"/>
      <c r="AT201" s="155"/>
      <c r="AU201" s="155"/>
      <c r="AV201" s="155"/>
      <c r="AW201" s="155"/>
      <c r="AX201" s="155"/>
      <c r="AY201" s="155"/>
      <c r="AZ201" s="155"/>
      <c r="BA201" s="155"/>
      <c r="BB201" s="155"/>
      <c r="BC201" s="155"/>
      <c r="BD201" s="155"/>
      <c r="BE201" s="155"/>
      <c r="BF201" s="155"/>
      <c r="BG201" s="155"/>
      <c r="BH201" s="155"/>
      <c r="BI201" s="155"/>
      <c r="BJ201" s="155"/>
      <c r="BK201" s="155"/>
      <c r="BL201" s="155"/>
      <c r="BM201" s="155"/>
      <c r="BN201" s="155"/>
      <c r="BO201" s="155"/>
      <c r="BP201" s="155"/>
    </row>
    <row r="202" spans="1:68" x14ac:dyDescent="0.25">
      <c r="A202" s="187"/>
      <c r="B202" s="149"/>
      <c r="C202" s="149"/>
      <c r="D202" s="149"/>
      <c r="E202" s="149"/>
      <c r="F202" s="155"/>
      <c r="G202" s="155"/>
      <c r="H202" s="155"/>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c r="AJ202" s="155"/>
      <c r="AK202" s="155"/>
      <c r="AL202" s="155"/>
      <c r="AM202" s="155"/>
      <c r="AN202" s="155"/>
      <c r="AO202" s="155"/>
      <c r="AP202" s="155"/>
      <c r="AQ202" s="155"/>
      <c r="AR202" s="155"/>
      <c r="AS202" s="155"/>
      <c r="AT202" s="155"/>
      <c r="AU202" s="155"/>
      <c r="AV202" s="155"/>
      <c r="AW202" s="155"/>
      <c r="AX202" s="155"/>
      <c r="AY202" s="155"/>
      <c r="AZ202" s="155"/>
      <c r="BA202" s="155"/>
      <c r="BB202" s="155"/>
      <c r="BC202" s="155"/>
      <c r="BD202" s="155"/>
      <c r="BE202" s="155"/>
      <c r="BF202" s="155"/>
      <c r="BG202" s="155"/>
      <c r="BH202" s="155"/>
      <c r="BI202" s="155"/>
      <c r="BJ202" s="155"/>
      <c r="BK202" s="155"/>
      <c r="BL202" s="155"/>
      <c r="BM202" s="155"/>
      <c r="BN202" s="155"/>
      <c r="BO202" s="155"/>
      <c r="BP202" s="155"/>
    </row>
    <row r="203" spans="1:68" x14ac:dyDescent="0.25">
      <c r="A203" s="149"/>
      <c r="B203" s="149"/>
      <c r="C203" s="149"/>
      <c r="D203" s="149"/>
      <c r="E203" s="149"/>
      <c r="F203" s="155"/>
      <c r="G203" s="155"/>
      <c r="H203" s="155"/>
      <c r="I203" s="155"/>
      <c r="J203" s="155"/>
      <c r="K203" s="155"/>
      <c r="L203" s="155"/>
      <c r="M203" s="155"/>
      <c r="N203" s="155"/>
      <c r="O203" s="155"/>
      <c r="P203" s="155"/>
      <c r="Q203" s="155"/>
      <c r="R203" s="155"/>
      <c r="S203" s="155"/>
      <c r="T203" s="155"/>
      <c r="U203" s="155"/>
      <c r="V203" s="155"/>
      <c r="W203" s="155"/>
      <c r="X203" s="155"/>
      <c r="Y203" s="155"/>
      <c r="Z203" s="155"/>
      <c r="AA203" s="155"/>
      <c r="AB203" s="155"/>
      <c r="AC203" s="155"/>
      <c r="AD203" s="155"/>
      <c r="AE203" s="155"/>
      <c r="AF203" s="155"/>
      <c r="AG203" s="155"/>
      <c r="AH203" s="155"/>
      <c r="AI203" s="155"/>
      <c r="AJ203" s="155"/>
      <c r="AK203" s="155"/>
      <c r="AL203" s="155"/>
      <c r="AM203" s="155"/>
      <c r="AN203" s="155"/>
      <c r="AO203" s="155"/>
      <c r="AP203" s="155"/>
      <c r="AQ203" s="155"/>
      <c r="AR203" s="155"/>
      <c r="AS203" s="155"/>
      <c r="AT203" s="155"/>
      <c r="AU203" s="155"/>
      <c r="AV203" s="155"/>
      <c r="AW203" s="155"/>
      <c r="AX203" s="155"/>
      <c r="AY203" s="155"/>
      <c r="AZ203" s="155"/>
      <c r="BA203" s="155"/>
      <c r="BB203" s="155"/>
      <c r="BC203" s="155"/>
      <c r="BD203" s="155"/>
      <c r="BE203" s="155"/>
      <c r="BF203" s="155"/>
      <c r="BG203" s="155"/>
      <c r="BH203" s="155"/>
      <c r="BI203" s="155"/>
      <c r="BJ203" s="155"/>
      <c r="BK203" s="155"/>
      <c r="BL203" s="155"/>
      <c r="BM203" s="155"/>
      <c r="BN203" s="155"/>
      <c r="BO203" s="155"/>
      <c r="BP203" s="155"/>
    </row>
    <row r="204" spans="1:68" x14ac:dyDescent="0.25">
      <c r="A204" s="149"/>
      <c r="B204" s="149"/>
      <c r="C204" s="149"/>
      <c r="D204" s="149"/>
      <c r="E204" s="149"/>
      <c r="F204" s="155"/>
      <c r="G204" s="155"/>
      <c r="H204" s="155"/>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c r="AE204" s="155"/>
      <c r="AF204" s="155"/>
      <c r="AG204" s="155"/>
      <c r="AH204" s="155"/>
      <c r="AI204" s="155"/>
      <c r="AJ204" s="155"/>
      <c r="AK204" s="155"/>
      <c r="AL204" s="155"/>
      <c r="AM204" s="155"/>
      <c r="AN204" s="155"/>
      <c r="AO204" s="155"/>
      <c r="AP204" s="155"/>
      <c r="AQ204" s="155"/>
      <c r="AR204" s="155"/>
      <c r="AS204" s="155"/>
      <c r="AT204" s="155"/>
      <c r="AU204" s="155"/>
      <c r="AV204" s="155"/>
      <c r="AW204" s="155"/>
      <c r="AX204" s="155"/>
      <c r="AY204" s="155"/>
      <c r="AZ204" s="155"/>
      <c r="BA204" s="155"/>
      <c r="BB204" s="155"/>
      <c r="BC204" s="155"/>
      <c r="BD204" s="155"/>
      <c r="BE204" s="155"/>
      <c r="BF204" s="155"/>
      <c r="BG204" s="155"/>
      <c r="BH204" s="155"/>
      <c r="BI204" s="155"/>
      <c r="BJ204" s="155"/>
      <c r="BK204" s="155"/>
      <c r="BL204" s="155"/>
      <c r="BM204" s="155"/>
      <c r="BN204" s="155"/>
      <c r="BO204" s="155"/>
      <c r="BP204" s="155"/>
    </row>
    <row r="205" spans="1:68" x14ac:dyDescent="0.25">
      <c r="A205" s="149"/>
      <c r="B205" s="149"/>
      <c r="C205" s="149"/>
      <c r="D205" s="149"/>
      <c r="E205" s="149"/>
      <c r="F205" s="155"/>
      <c r="G205" s="155"/>
      <c r="H205" s="155"/>
      <c r="I205" s="155"/>
      <c r="J205" s="155"/>
      <c r="K205" s="155"/>
      <c r="L205" s="155"/>
      <c r="M205" s="155"/>
      <c r="N205" s="155"/>
      <c r="O205" s="155"/>
      <c r="P205" s="155"/>
      <c r="Q205" s="155"/>
      <c r="R205" s="155"/>
      <c r="S205" s="155"/>
      <c r="T205" s="155"/>
      <c r="U205" s="155"/>
      <c r="V205" s="155"/>
      <c r="W205" s="155"/>
      <c r="X205" s="155"/>
      <c r="Y205" s="155"/>
      <c r="Z205" s="155"/>
      <c r="AA205" s="155"/>
      <c r="AB205" s="155"/>
      <c r="AC205" s="155"/>
      <c r="AD205" s="155"/>
      <c r="AE205" s="155"/>
      <c r="AF205" s="155"/>
      <c r="AG205" s="155"/>
      <c r="AH205" s="155"/>
      <c r="AI205" s="155"/>
      <c r="AJ205" s="155"/>
      <c r="AK205" s="155"/>
      <c r="AL205" s="155"/>
      <c r="AM205" s="155"/>
      <c r="AN205" s="155"/>
      <c r="AO205" s="155"/>
      <c r="AP205" s="155"/>
      <c r="AQ205" s="155"/>
      <c r="AR205" s="155"/>
      <c r="AS205" s="155"/>
      <c r="AT205" s="155"/>
      <c r="AU205" s="155"/>
      <c r="AV205" s="155"/>
      <c r="AW205" s="155"/>
      <c r="AX205" s="155"/>
      <c r="AY205" s="155"/>
      <c r="AZ205" s="155"/>
      <c r="BA205" s="155"/>
      <c r="BB205" s="155"/>
      <c r="BC205" s="155"/>
      <c r="BD205" s="155"/>
      <c r="BE205" s="155"/>
      <c r="BF205" s="155"/>
      <c r="BG205" s="155"/>
      <c r="BH205" s="155"/>
      <c r="BI205" s="155"/>
      <c r="BJ205" s="155"/>
      <c r="BK205" s="155"/>
      <c r="BL205" s="155"/>
      <c r="BM205" s="155"/>
      <c r="BN205" s="155"/>
      <c r="BO205" s="155"/>
      <c r="BP205" s="155"/>
    </row>
    <row r="206" spans="1:68" x14ac:dyDescent="0.25">
      <c r="A206" s="149"/>
      <c r="B206" s="149"/>
      <c r="C206" s="149"/>
      <c r="D206" s="149"/>
      <c r="E206" s="149"/>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c r="AJ206" s="155"/>
      <c r="AK206" s="155"/>
      <c r="AL206" s="155"/>
      <c r="AM206" s="155"/>
      <c r="AN206" s="155"/>
      <c r="AO206" s="155"/>
      <c r="AP206" s="155"/>
      <c r="AQ206" s="155"/>
      <c r="AR206" s="155"/>
      <c r="AS206" s="155"/>
      <c r="AT206" s="155"/>
      <c r="AU206" s="155"/>
      <c r="AV206" s="155"/>
      <c r="AW206" s="155"/>
      <c r="AX206" s="155"/>
      <c r="AY206" s="155"/>
      <c r="AZ206" s="155"/>
      <c r="BA206" s="155"/>
      <c r="BB206" s="155"/>
      <c r="BC206" s="155"/>
      <c r="BD206" s="155"/>
      <c r="BE206" s="155"/>
      <c r="BF206" s="155"/>
      <c r="BG206" s="155"/>
      <c r="BH206" s="155"/>
      <c r="BI206" s="155"/>
      <c r="BJ206" s="155"/>
      <c r="BK206" s="155"/>
      <c r="BL206" s="155"/>
      <c r="BM206" s="155"/>
      <c r="BN206" s="155"/>
      <c r="BO206" s="155"/>
      <c r="BP206" s="155"/>
    </row>
    <row r="207" spans="1:68" x14ac:dyDescent="0.25">
      <c r="A207" s="149"/>
      <c r="B207" s="149"/>
      <c r="C207" s="149"/>
      <c r="D207" s="149"/>
      <c r="E207" s="149"/>
      <c r="F207" s="155"/>
      <c r="G207" s="155"/>
      <c r="H207" s="155"/>
      <c r="I207" s="155"/>
      <c r="J207" s="155"/>
      <c r="K207" s="155"/>
      <c r="L207" s="155"/>
      <c r="M207" s="155"/>
      <c r="N207" s="155"/>
      <c r="O207" s="155"/>
      <c r="P207" s="155"/>
      <c r="Q207" s="155"/>
      <c r="R207" s="155"/>
      <c r="S207" s="155"/>
      <c r="T207" s="155"/>
      <c r="U207" s="155"/>
      <c r="V207" s="155"/>
      <c r="W207" s="155"/>
      <c r="X207" s="155"/>
      <c r="Y207" s="155"/>
      <c r="Z207" s="155"/>
      <c r="AA207" s="155"/>
      <c r="AB207" s="155"/>
      <c r="AC207" s="155"/>
      <c r="AD207" s="155"/>
      <c r="AE207" s="155"/>
      <c r="AF207" s="155"/>
      <c r="AG207" s="155"/>
      <c r="AH207" s="155"/>
      <c r="AI207" s="155"/>
      <c r="AJ207" s="155"/>
      <c r="AK207" s="155"/>
      <c r="AL207" s="155"/>
      <c r="AM207" s="155"/>
      <c r="AN207" s="155"/>
      <c r="AO207" s="155"/>
      <c r="AP207" s="155"/>
      <c r="AQ207" s="155"/>
      <c r="AR207" s="155"/>
      <c r="AS207" s="155"/>
      <c r="AT207" s="155"/>
      <c r="AU207" s="155"/>
      <c r="AV207" s="155"/>
      <c r="AW207" s="155"/>
      <c r="AX207" s="155"/>
      <c r="AY207" s="155"/>
      <c r="AZ207" s="155"/>
      <c r="BA207" s="155"/>
      <c r="BB207" s="155"/>
      <c r="BC207" s="155"/>
      <c r="BD207" s="155"/>
      <c r="BE207" s="155"/>
      <c r="BF207" s="155"/>
      <c r="BG207" s="155"/>
      <c r="BH207" s="155"/>
      <c r="BI207" s="155"/>
      <c r="BJ207" s="155"/>
      <c r="BK207" s="155"/>
      <c r="BL207" s="155"/>
      <c r="BM207" s="155"/>
      <c r="BN207" s="155"/>
      <c r="BO207" s="155"/>
      <c r="BP207" s="155"/>
    </row>
    <row r="208" spans="1:68" x14ac:dyDescent="0.25">
      <c r="A208" s="149"/>
      <c r="B208" s="149"/>
      <c r="C208" s="149"/>
      <c r="D208" s="149"/>
      <c r="E208" s="149"/>
      <c r="F208" s="155"/>
      <c r="G208" s="155"/>
      <c r="H208" s="155"/>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c r="AG208" s="155"/>
      <c r="AH208" s="155"/>
      <c r="AI208" s="155"/>
      <c r="AJ208" s="155"/>
      <c r="AK208" s="155"/>
      <c r="AL208" s="155"/>
      <c r="AM208" s="155"/>
      <c r="AN208" s="155"/>
      <c r="AO208" s="155"/>
      <c r="AP208" s="155"/>
      <c r="AQ208" s="155"/>
      <c r="AR208" s="155"/>
      <c r="AS208" s="155"/>
      <c r="AT208" s="155"/>
      <c r="AU208" s="155"/>
      <c r="AV208" s="155"/>
      <c r="AW208" s="155"/>
      <c r="AX208" s="155"/>
      <c r="AY208" s="155"/>
      <c r="AZ208" s="155"/>
      <c r="BA208" s="155"/>
      <c r="BB208" s="155"/>
      <c r="BC208" s="155"/>
      <c r="BD208" s="155"/>
      <c r="BE208" s="155"/>
      <c r="BF208" s="155"/>
      <c r="BG208" s="155"/>
      <c r="BH208" s="155"/>
      <c r="BI208" s="155"/>
      <c r="BJ208" s="155"/>
      <c r="BK208" s="155"/>
      <c r="BL208" s="155"/>
      <c r="BM208" s="155"/>
      <c r="BN208" s="155"/>
      <c r="BO208" s="155"/>
      <c r="BP208" s="155"/>
    </row>
    <row r="209" spans="1:68" x14ac:dyDescent="0.25">
      <c r="A209" s="149"/>
      <c r="B209" s="149"/>
      <c r="C209" s="149"/>
      <c r="D209" s="149"/>
      <c r="E209" s="149"/>
      <c r="F209" s="155"/>
      <c r="G209" s="155"/>
      <c r="H209" s="155"/>
      <c r="I209" s="155"/>
      <c r="J209" s="155"/>
      <c r="K209" s="155"/>
      <c r="L209" s="155"/>
      <c r="M209" s="155"/>
      <c r="N209" s="155"/>
      <c r="O209" s="155"/>
      <c r="P209" s="155"/>
      <c r="Q209" s="155"/>
      <c r="R209" s="155"/>
      <c r="S209" s="155"/>
      <c r="T209" s="155"/>
      <c r="U209" s="155"/>
      <c r="V209" s="155"/>
      <c r="W209" s="155"/>
      <c r="X209" s="155"/>
      <c r="Y209" s="155"/>
      <c r="Z209" s="155"/>
      <c r="AA209" s="155"/>
      <c r="AB209" s="155"/>
      <c r="AC209" s="155"/>
      <c r="AD209" s="155"/>
      <c r="AE209" s="155"/>
      <c r="AF209" s="155"/>
      <c r="AG209" s="155"/>
      <c r="AH209" s="155"/>
      <c r="AI209" s="155"/>
      <c r="AJ209" s="155"/>
      <c r="AK209" s="155"/>
      <c r="AL209" s="155"/>
      <c r="AM209" s="155"/>
      <c r="AN209" s="155"/>
      <c r="AO209" s="155"/>
      <c r="AP209" s="155"/>
      <c r="AQ209" s="155"/>
      <c r="AR209" s="155"/>
      <c r="AS209" s="155"/>
      <c r="AT209" s="155"/>
      <c r="AU209" s="155"/>
      <c r="AV209" s="155"/>
      <c r="AW209" s="155"/>
      <c r="AX209" s="155"/>
      <c r="AY209" s="155"/>
      <c r="AZ209" s="155"/>
      <c r="BA209" s="155"/>
      <c r="BB209" s="155"/>
      <c r="BC209" s="155"/>
      <c r="BD209" s="155"/>
      <c r="BE209" s="155"/>
      <c r="BF209" s="155"/>
      <c r="BG209" s="155"/>
      <c r="BH209" s="155"/>
      <c r="BI209" s="155"/>
      <c r="BJ209" s="155"/>
      <c r="BK209" s="155"/>
      <c r="BL209" s="155"/>
      <c r="BM209" s="155"/>
      <c r="BN209" s="155"/>
      <c r="BO209" s="155"/>
      <c r="BP209" s="155"/>
    </row>
    <row r="210" spans="1:68" x14ac:dyDescent="0.25">
      <c r="A210" s="173"/>
      <c r="B210" s="149"/>
      <c r="C210" s="149"/>
      <c r="D210" s="149"/>
      <c r="E210" s="149"/>
      <c r="F210" s="155"/>
      <c r="G210" s="155"/>
      <c r="H210" s="155"/>
      <c r="I210" s="155"/>
      <c r="J210" s="155"/>
      <c r="K210" s="155"/>
      <c r="L210" s="155"/>
      <c r="M210" s="155"/>
      <c r="N210" s="155"/>
      <c r="O210" s="155"/>
      <c r="P210" s="155"/>
      <c r="Q210" s="155"/>
      <c r="R210" s="155"/>
      <c r="S210" s="155"/>
      <c r="T210" s="155"/>
      <c r="U210" s="155"/>
      <c r="V210" s="155"/>
      <c r="W210" s="155"/>
      <c r="X210" s="155"/>
      <c r="Y210" s="155"/>
      <c r="Z210" s="155"/>
      <c r="AA210" s="155"/>
      <c r="AB210" s="155"/>
      <c r="AC210" s="155"/>
      <c r="AD210" s="155"/>
      <c r="AE210" s="155"/>
      <c r="AF210" s="155"/>
      <c r="AG210" s="155"/>
      <c r="AH210" s="155"/>
      <c r="AI210" s="155"/>
      <c r="AJ210" s="155"/>
      <c r="AK210" s="155"/>
      <c r="AL210" s="155"/>
      <c r="AM210" s="155"/>
      <c r="AN210" s="155"/>
      <c r="AO210" s="155"/>
      <c r="AP210" s="155"/>
      <c r="AQ210" s="155"/>
      <c r="AR210" s="155"/>
      <c r="AS210" s="155"/>
      <c r="AT210" s="155"/>
      <c r="AU210" s="155"/>
      <c r="AV210" s="155"/>
      <c r="AW210" s="155"/>
      <c r="AX210" s="155"/>
      <c r="AY210" s="155"/>
      <c r="AZ210" s="155"/>
      <c r="BA210" s="155"/>
      <c r="BB210" s="155"/>
      <c r="BC210" s="155"/>
      <c r="BD210" s="155"/>
      <c r="BE210" s="155"/>
      <c r="BF210" s="155"/>
      <c r="BG210" s="155"/>
      <c r="BH210" s="155"/>
      <c r="BI210" s="155"/>
      <c r="BJ210" s="155"/>
      <c r="BK210" s="155"/>
      <c r="BL210" s="155"/>
      <c r="BM210" s="155"/>
      <c r="BN210" s="155"/>
      <c r="BO210" s="155"/>
      <c r="BP210" s="155"/>
    </row>
    <row r="211" spans="1:68" x14ac:dyDescent="0.25">
      <c r="A211" s="149"/>
      <c r="B211" s="149"/>
      <c r="C211" s="149"/>
      <c r="D211" s="149"/>
      <c r="E211" s="149"/>
      <c r="F211" s="155"/>
      <c r="G211" s="155"/>
      <c r="H211" s="155"/>
      <c r="I211" s="155"/>
      <c r="J211" s="155"/>
      <c r="K211" s="155"/>
      <c r="L211" s="155"/>
      <c r="M211" s="155"/>
      <c r="N211" s="155"/>
      <c r="O211" s="155"/>
      <c r="P211" s="155"/>
      <c r="Q211" s="155"/>
      <c r="R211" s="155"/>
      <c r="S211" s="155"/>
      <c r="T211" s="155"/>
      <c r="U211" s="155"/>
      <c r="V211" s="155"/>
      <c r="W211" s="155"/>
      <c r="X211" s="155"/>
      <c r="Y211" s="155"/>
      <c r="Z211" s="155"/>
      <c r="AA211" s="155"/>
      <c r="AB211" s="155"/>
      <c r="AC211" s="155"/>
      <c r="AD211" s="155"/>
      <c r="AE211" s="155"/>
      <c r="AF211" s="155"/>
      <c r="AG211" s="155"/>
      <c r="AH211" s="155"/>
      <c r="AI211" s="155"/>
      <c r="AJ211" s="155"/>
      <c r="AK211" s="155"/>
      <c r="AL211" s="155"/>
      <c r="AM211" s="155"/>
      <c r="AN211" s="155"/>
      <c r="AO211" s="155"/>
      <c r="AP211" s="155"/>
      <c r="AQ211" s="155"/>
      <c r="AR211" s="155"/>
      <c r="AS211" s="155"/>
      <c r="AT211" s="155"/>
      <c r="AU211" s="155"/>
      <c r="AV211" s="155"/>
      <c r="AW211" s="155"/>
      <c r="AX211" s="155"/>
      <c r="AY211" s="155"/>
      <c r="AZ211" s="155"/>
      <c r="BA211" s="155"/>
      <c r="BB211" s="155"/>
      <c r="BC211" s="155"/>
      <c r="BD211" s="155"/>
      <c r="BE211" s="155"/>
      <c r="BF211" s="155"/>
      <c r="BG211" s="155"/>
      <c r="BH211" s="155"/>
      <c r="BI211" s="155"/>
      <c r="BJ211" s="155"/>
      <c r="BK211" s="155"/>
      <c r="BL211" s="155"/>
      <c r="BM211" s="155"/>
      <c r="BN211" s="155"/>
      <c r="BO211" s="155"/>
      <c r="BP211" s="155"/>
    </row>
    <row r="212" spans="1:68" x14ac:dyDescent="0.25">
      <c r="A212" s="149"/>
      <c r="B212" s="149"/>
      <c r="C212" s="149"/>
      <c r="D212" s="149"/>
      <c r="E212" s="149"/>
      <c r="F212" s="155"/>
      <c r="G212" s="155"/>
      <c r="H212" s="155"/>
      <c r="I212" s="155"/>
      <c r="J212" s="155"/>
      <c r="K212" s="155"/>
      <c r="L212" s="155"/>
      <c r="M212" s="155"/>
      <c r="N212" s="155"/>
      <c r="O212" s="155"/>
      <c r="P212" s="155"/>
      <c r="Q212" s="155"/>
      <c r="R212" s="155"/>
      <c r="S212" s="155"/>
      <c r="T212" s="155"/>
      <c r="U212" s="155"/>
      <c r="V212" s="155"/>
      <c r="W212" s="155"/>
      <c r="X212" s="155"/>
      <c r="Y212" s="155"/>
      <c r="Z212" s="155"/>
      <c r="AA212" s="155"/>
      <c r="AB212" s="155"/>
      <c r="AC212" s="155"/>
      <c r="AD212" s="155"/>
      <c r="AE212" s="155"/>
      <c r="AF212" s="155"/>
      <c r="AG212" s="155"/>
      <c r="AH212" s="155"/>
      <c r="AI212" s="155"/>
      <c r="AJ212" s="155"/>
      <c r="AK212" s="155"/>
      <c r="AL212" s="155"/>
      <c r="AM212" s="155"/>
      <c r="AN212" s="155"/>
      <c r="AO212" s="155"/>
      <c r="AP212" s="155"/>
      <c r="AQ212" s="155"/>
      <c r="AR212" s="155"/>
      <c r="AS212" s="155"/>
      <c r="AT212" s="155"/>
      <c r="AU212" s="155"/>
      <c r="AV212" s="155"/>
      <c r="AW212" s="155"/>
      <c r="AX212" s="155"/>
      <c r="AY212" s="155"/>
      <c r="AZ212" s="155"/>
      <c r="BA212" s="155"/>
      <c r="BB212" s="155"/>
      <c r="BC212" s="155"/>
      <c r="BD212" s="155"/>
      <c r="BE212" s="155"/>
      <c r="BF212" s="155"/>
      <c r="BG212" s="155"/>
      <c r="BH212" s="155"/>
      <c r="BI212" s="155"/>
      <c r="BJ212" s="155"/>
      <c r="BK212" s="155"/>
      <c r="BL212" s="155"/>
      <c r="BM212" s="155"/>
      <c r="BN212" s="155"/>
      <c r="BO212" s="155"/>
      <c r="BP212" s="155"/>
    </row>
    <row r="213" spans="1:68" x14ac:dyDescent="0.25">
      <c r="A213" s="149"/>
      <c r="B213" s="149"/>
      <c r="C213" s="149"/>
      <c r="D213" s="149"/>
      <c r="E213" s="149"/>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c r="AG213" s="155"/>
      <c r="AH213" s="155"/>
      <c r="AI213" s="155"/>
      <c r="AJ213" s="155"/>
      <c r="AK213" s="155"/>
      <c r="AL213" s="155"/>
      <c r="AM213" s="155"/>
      <c r="AN213" s="155"/>
      <c r="AO213" s="155"/>
      <c r="AP213" s="155"/>
      <c r="AQ213" s="155"/>
      <c r="AR213" s="155"/>
      <c r="AS213" s="155"/>
      <c r="AT213" s="155"/>
      <c r="AU213" s="155"/>
      <c r="AV213" s="155"/>
      <c r="AW213" s="155"/>
      <c r="AX213" s="155"/>
      <c r="AY213" s="155"/>
      <c r="AZ213" s="155"/>
      <c r="BA213" s="155"/>
      <c r="BB213" s="155"/>
      <c r="BC213" s="155"/>
      <c r="BD213" s="155"/>
      <c r="BE213" s="155"/>
      <c r="BF213" s="155"/>
      <c r="BG213" s="155"/>
      <c r="BH213" s="155"/>
      <c r="BI213" s="155"/>
      <c r="BJ213" s="155"/>
      <c r="BK213" s="155"/>
      <c r="BL213" s="155"/>
      <c r="BM213" s="155"/>
      <c r="BN213" s="155"/>
      <c r="BO213" s="155"/>
      <c r="BP213" s="155"/>
    </row>
    <row r="214" spans="1:68" x14ac:dyDescent="0.25">
      <c r="A214" s="149"/>
      <c r="B214" s="149"/>
      <c r="C214" s="149"/>
      <c r="D214" s="149"/>
      <c r="E214" s="149"/>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c r="AG214" s="155"/>
      <c r="AH214" s="155"/>
      <c r="AI214" s="155"/>
      <c r="AJ214" s="155"/>
      <c r="AK214" s="155"/>
      <c r="AL214" s="155"/>
      <c r="AM214" s="155"/>
      <c r="AN214" s="155"/>
      <c r="AO214" s="155"/>
      <c r="AP214" s="155"/>
      <c r="AQ214" s="155"/>
      <c r="AR214" s="155"/>
      <c r="AS214" s="155"/>
      <c r="AT214" s="155"/>
      <c r="AU214" s="155"/>
      <c r="AV214" s="155"/>
      <c r="AW214" s="155"/>
      <c r="AX214" s="155"/>
      <c r="AY214" s="155"/>
      <c r="AZ214" s="155"/>
      <c r="BA214" s="155"/>
      <c r="BB214" s="155"/>
      <c r="BC214" s="155"/>
      <c r="BD214" s="155"/>
      <c r="BE214" s="155"/>
      <c r="BF214" s="155"/>
      <c r="BG214" s="155"/>
      <c r="BH214" s="155"/>
      <c r="BI214" s="155"/>
      <c r="BJ214" s="155"/>
      <c r="BK214" s="155"/>
      <c r="BL214" s="155"/>
      <c r="BM214" s="155"/>
      <c r="BN214" s="155"/>
      <c r="BO214" s="155"/>
      <c r="BP214" s="155"/>
    </row>
    <row r="215" spans="1:68" x14ac:dyDescent="0.25">
      <c r="A215" s="149"/>
      <c r="B215" s="149"/>
      <c r="C215" s="149"/>
      <c r="D215" s="149"/>
      <c r="E215" s="149"/>
      <c r="F215" s="155"/>
      <c r="G215" s="155"/>
      <c r="H215" s="155"/>
      <c r="I215" s="155"/>
      <c r="J215" s="155"/>
      <c r="K215" s="155"/>
      <c r="L215" s="155"/>
      <c r="M215" s="155"/>
      <c r="N215" s="155"/>
      <c r="O215" s="155"/>
      <c r="P215" s="155"/>
      <c r="Q215" s="155"/>
      <c r="R215" s="155"/>
      <c r="S215" s="155"/>
      <c r="T215" s="155"/>
      <c r="U215" s="155"/>
      <c r="V215" s="155"/>
      <c r="W215" s="155"/>
      <c r="X215" s="155"/>
      <c r="Y215" s="155"/>
      <c r="Z215" s="155"/>
      <c r="AA215" s="155"/>
      <c r="AB215" s="155"/>
      <c r="AC215" s="155"/>
      <c r="AD215" s="155"/>
      <c r="AE215" s="155"/>
      <c r="AF215" s="155"/>
      <c r="AG215" s="155"/>
      <c r="AH215" s="155"/>
      <c r="AI215" s="155"/>
      <c r="AJ215" s="155"/>
      <c r="AK215" s="155"/>
      <c r="AL215" s="155"/>
      <c r="AM215" s="155"/>
      <c r="AN215" s="155"/>
      <c r="AO215" s="155"/>
      <c r="AP215" s="155"/>
      <c r="AQ215" s="155"/>
      <c r="AR215" s="155"/>
      <c r="AS215" s="155"/>
      <c r="AT215" s="155"/>
      <c r="AU215" s="155"/>
      <c r="AV215" s="155"/>
      <c r="AW215" s="155"/>
      <c r="AX215" s="155"/>
      <c r="AY215" s="155"/>
      <c r="AZ215" s="155"/>
      <c r="BA215" s="155"/>
      <c r="BB215" s="155"/>
      <c r="BC215" s="155"/>
      <c r="BD215" s="155"/>
      <c r="BE215" s="155"/>
      <c r="BF215" s="155"/>
      <c r="BG215" s="155"/>
      <c r="BH215" s="155"/>
      <c r="BI215" s="155"/>
      <c r="BJ215" s="155"/>
      <c r="BK215" s="155"/>
      <c r="BL215" s="155"/>
      <c r="BM215" s="155"/>
      <c r="BN215" s="155"/>
      <c r="BO215" s="155"/>
      <c r="BP215" s="155"/>
    </row>
    <row r="216" spans="1:68" x14ac:dyDescent="0.25">
      <c r="A216" s="188"/>
      <c r="B216" s="149"/>
      <c r="C216" s="149"/>
      <c r="D216" s="149"/>
      <c r="E216" s="149"/>
      <c r="F216" s="155"/>
      <c r="G216" s="155"/>
      <c r="H216" s="155"/>
    </row>
    <row r="217" spans="1:68" x14ac:dyDescent="0.25">
      <c r="A217" s="149"/>
      <c r="B217" s="149"/>
      <c r="C217" s="149"/>
      <c r="D217" s="149"/>
      <c r="E217" s="149"/>
      <c r="F217" s="155"/>
      <c r="G217" s="155"/>
      <c r="H217" s="155"/>
    </row>
    <row r="218" spans="1:68" x14ac:dyDescent="0.25">
      <c r="A218" s="188"/>
      <c r="B218" s="149"/>
      <c r="C218" s="149"/>
      <c r="D218" s="149"/>
      <c r="E218" s="149"/>
      <c r="F218" s="155"/>
      <c r="G218" s="155"/>
      <c r="H218" s="155"/>
    </row>
    <row r="219" spans="1:68" x14ac:dyDescent="0.25">
      <c r="A219" s="149"/>
      <c r="B219" s="149"/>
      <c r="C219" s="149"/>
      <c r="D219" s="149"/>
      <c r="E219" s="149"/>
      <c r="F219" s="155"/>
      <c r="G219" s="155"/>
      <c r="H219" s="155"/>
    </row>
    <row r="220" spans="1:68" x14ac:dyDescent="0.25">
      <c r="A220" s="188"/>
      <c r="B220" s="149"/>
      <c r="C220" s="149"/>
      <c r="D220" s="149"/>
      <c r="E220" s="149"/>
      <c r="F220" s="155"/>
      <c r="G220" s="155"/>
      <c r="H220" s="155"/>
    </row>
    <row r="221" spans="1:68" x14ac:dyDescent="0.25">
      <c r="A221" s="149"/>
      <c r="B221" s="149"/>
      <c r="C221" s="149"/>
      <c r="D221" s="149"/>
      <c r="E221" s="149"/>
      <c r="F221" s="155"/>
      <c r="G221" s="155"/>
      <c r="H221" s="155"/>
    </row>
    <row r="222" spans="1:68" x14ac:dyDescent="0.25">
      <c r="D222" s="149"/>
      <c r="E222" s="149"/>
      <c r="F222" s="155"/>
      <c r="G222" s="155"/>
      <c r="H222" s="155"/>
    </row>
  </sheetData>
  <sheetProtection sheet="1" objects="1" scenarios="1"/>
  <conditionalFormatting sqref="E27:L118">
    <cfRule type="containsErrors" dxfId="46" priority="2">
      <formula>ISERROR(E27)</formula>
    </cfRule>
  </conditionalFormatting>
  <conditionalFormatting sqref="B110:C113 B93:C104 B129:C160 B116:C127">
    <cfRule type="cellIs" dxfId="45" priority="1" operator="lessThan">
      <formula>0</formula>
    </cfRule>
  </conditionalFormatting>
  <pageMargins left="0" right="0" top="0" bottom="0" header="0" footer="0"/>
  <pageSetup paperSize="9" scale="66" fitToHeight="0" orientation="portrait" r:id="rId1"/>
  <rowBreaks count="1" manualBreakCount="1">
    <brk id="87" max="2" man="1"/>
  </rowBreaks>
  <drawing r:id="rId2"/>
  <legacyDrawing r:id="rId3"/>
  <extLst>
    <ext xmlns:x14="http://schemas.microsoft.com/office/spreadsheetml/2009/9/main" uri="{CCE6A557-97BC-4b89-ADB6-D9C93CAAB3DF}">
      <x14:dataValidations xmlns:xm="http://schemas.microsoft.com/office/excel/2006/main" disablePrompts="1" xWindow="884" yWindow="299" count="4">
        <x14:dataValidation type="list" allowBlank="1" showInputMessage="1" showErrorMessage="1" promptTitle="Heating system" prompt="choose heating system" xr:uid="{00000000-0002-0000-0200-000000000000}">
          <x14:formula1>
            <xm:f>'Heating system (hidden)'!$A$2:$A$6</xm:f>
          </x14:formula1>
          <xm:sqref>B8</xm:sqref>
        </x14:dataValidation>
        <x14:dataValidation type="list" allowBlank="1" showInputMessage="1" showErrorMessage="1" promptTitle="Type of building" prompt="Choose type of building" xr:uid="{00000000-0002-0000-0200-000001000000}">
          <x14:formula1>
            <xm:f>'Type of building'!$A$2:$A$8</xm:f>
          </x14:formula1>
          <xm:sqref>B6</xm:sqref>
        </x14:dataValidation>
        <x14:dataValidation type="list" allowBlank="1" showInputMessage="1" showErrorMessage="1" promptTitle="Ventilation system" prompt="Choose ventilation system" xr:uid="{00000000-0002-0000-0200-000002000000}">
          <x14:formula1>
            <xm:f>'Ventilation system'!$A$2:$A$5</xm:f>
          </x14:formula1>
          <xm:sqref>B9</xm:sqref>
        </x14:dataValidation>
        <x14:dataValidation type="list" allowBlank="1" showInputMessage="1" showErrorMessage="1" promptTitle="Cooling system" prompt="Choose cooling system" xr:uid="{00000000-0002-0000-0200-000003000000}">
          <x14:formula1>
            <xm:f>'Cooling system'!$A$2:$A$5</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election activeCell="C19" sqref="C19"/>
    </sheetView>
  </sheetViews>
  <sheetFormatPr defaultRowHeight="15" x14ac:dyDescent="0.25"/>
  <cols>
    <col min="1" max="1" width="36.140625" customWidth="1"/>
  </cols>
  <sheetData>
    <row r="1" spans="1:1" x14ac:dyDescent="0.25">
      <c r="A1" t="s">
        <v>93</v>
      </c>
    </row>
    <row r="2" spans="1:1" x14ac:dyDescent="0.25">
      <c r="A2" t="s">
        <v>94</v>
      </c>
    </row>
    <row r="3" spans="1:1" x14ac:dyDescent="0.25">
      <c r="A3" t="s">
        <v>230</v>
      </c>
    </row>
    <row r="4" spans="1:1" x14ac:dyDescent="0.25">
      <c r="A4" t="s">
        <v>229</v>
      </c>
    </row>
    <row r="5" spans="1:1" x14ac:dyDescent="0.25">
      <c r="A5" t="s">
        <v>231</v>
      </c>
    </row>
  </sheetData>
  <sheetProtection sheet="1" objects="1" scenarios="1"/>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B8" sqref="B8"/>
    </sheetView>
  </sheetViews>
  <sheetFormatPr defaultRowHeight="15" x14ac:dyDescent="0.25"/>
  <cols>
    <col min="1" max="1" width="15.42578125" customWidth="1"/>
  </cols>
  <sheetData>
    <row r="1" spans="1:1" x14ac:dyDescent="0.25">
      <c r="A1" t="s">
        <v>104</v>
      </c>
    </row>
    <row r="2" spans="1:1" x14ac:dyDescent="0.25">
      <c r="A2" t="s">
        <v>105</v>
      </c>
    </row>
    <row r="3" spans="1:1" x14ac:dyDescent="0.25">
      <c r="A3" t="s">
        <v>91</v>
      </c>
    </row>
    <row r="4" spans="1:1" x14ac:dyDescent="0.25">
      <c r="A4" t="s">
        <v>229</v>
      </c>
    </row>
    <row r="5" spans="1:1" x14ac:dyDescent="0.25">
      <c r="A5" t="s">
        <v>231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
  <sheetViews>
    <sheetView workbookViewId="0">
      <selection activeCell="D8" sqref="D8"/>
    </sheetView>
  </sheetViews>
  <sheetFormatPr defaultRowHeight="15" x14ac:dyDescent="0.25"/>
  <cols>
    <col min="1" max="1" width="28.28515625" customWidth="1"/>
  </cols>
  <sheetData>
    <row r="1" spans="1:1" x14ac:dyDescent="0.25">
      <c r="A1" t="s">
        <v>139</v>
      </c>
    </row>
    <row r="2" spans="1:1" s="39" customFormat="1" x14ac:dyDescent="0.25">
      <c r="A2" s="2" t="s">
        <v>148</v>
      </c>
    </row>
    <row r="3" spans="1:1" x14ac:dyDescent="0.25">
      <c r="A3" s="2" t="s">
        <v>149</v>
      </c>
    </row>
    <row r="4" spans="1:1" x14ac:dyDescent="0.25">
      <c r="A4" s="2" t="s">
        <v>144</v>
      </c>
    </row>
    <row r="5" spans="1:1" x14ac:dyDescent="0.25">
      <c r="A5" s="2" t="s">
        <v>145</v>
      </c>
    </row>
    <row r="6" spans="1:1" x14ac:dyDescent="0.25">
      <c r="A6" s="2" t="s">
        <v>146</v>
      </c>
    </row>
    <row r="7" spans="1:1" x14ac:dyDescent="0.25">
      <c r="A7" s="2" t="s">
        <v>147</v>
      </c>
    </row>
    <row r="8" spans="1:1" x14ac:dyDescent="0.25">
      <c r="A8" s="2" t="s">
        <v>227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11"/>
  <sheetViews>
    <sheetView showGridLines="0" showRowColHeaders="0" zoomScaleNormal="100" workbookViewId="0">
      <selection activeCell="O103" sqref="O103"/>
    </sheetView>
  </sheetViews>
  <sheetFormatPr defaultRowHeight="15" x14ac:dyDescent="0.25"/>
  <cols>
    <col min="1" max="1" width="38.85546875" customWidth="1"/>
    <col min="2" max="2" width="36.140625" customWidth="1"/>
    <col min="15" max="15" width="39.140625" customWidth="1"/>
    <col min="16" max="16" width="34.85546875" customWidth="1"/>
  </cols>
  <sheetData>
    <row r="1" spans="1:14" s="39" customFormat="1" ht="76.5" customHeight="1" thickBot="1" x14ac:dyDescent="0.4">
      <c r="C1" s="155"/>
      <c r="D1" s="305" t="s">
        <v>306</v>
      </c>
      <c r="E1" s="155"/>
      <c r="F1" s="155"/>
      <c r="G1" s="155"/>
      <c r="H1" s="155"/>
      <c r="I1" s="155"/>
      <c r="J1" s="155"/>
      <c r="K1" s="155"/>
      <c r="L1" s="155"/>
      <c r="M1" s="155"/>
      <c r="N1" s="155"/>
    </row>
    <row r="2" spans="1:14" s="39" customFormat="1" ht="16.5" customHeight="1" thickBot="1" x14ac:dyDescent="0.3">
      <c r="A2" s="282" t="s">
        <v>150</v>
      </c>
      <c r="B2" s="283" t="str">
        <f>'2. Inputs and results'!B5</f>
        <v>Building</v>
      </c>
      <c r="C2" s="155"/>
      <c r="D2" s="155"/>
      <c r="E2" s="155"/>
      <c r="F2" s="155"/>
      <c r="G2" s="155"/>
      <c r="H2" s="155"/>
      <c r="I2" s="155"/>
      <c r="J2" s="155"/>
      <c r="K2" s="155"/>
      <c r="L2" s="155"/>
      <c r="M2" s="155"/>
      <c r="N2" s="155"/>
    </row>
    <row r="3" spans="1:14" s="39" customFormat="1" ht="15.75" thickBot="1" x14ac:dyDescent="0.3">
      <c r="A3" s="280"/>
      <c r="B3" s="43"/>
      <c r="C3" s="155"/>
      <c r="D3" s="155"/>
      <c r="E3" s="155"/>
      <c r="F3" s="155"/>
      <c r="G3" s="155"/>
      <c r="H3" s="155"/>
      <c r="I3" s="155"/>
      <c r="J3" s="155"/>
      <c r="K3" s="155"/>
      <c r="L3" s="155"/>
      <c r="M3" s="155"/>
      <c r="N3" s="155"/>
    </row>
    <row r="4" spans="1:14" s="39" customFormat="1" ht="15.75" thickBot="1" x14ac:dyDescent="0.3">
      <c r="A4" s="282" t="s">
        <v>139</v>
      </c>
      <c r="B4" s="283" t="str">
        <f>'2. Inputs and results'!B6</f>
        <v>Housing/ Residential building</v>
      </c>
      <c r="C4" s="155"/>
      <c r="D4" s="155"/>
      <c r="E4" s="155"/>
      <c r="F4" s="155"/>
      <c r="G4" s="155"/>
      <c r="H4" s="155"/>
      <c r="I4" s="155"/>
      <c r="J4" s="155"/>
      <c r="K4" s="155"/>
      <c r="L4" s="155"/>
      <c r="M4" s="155"/>
      <c r="N4" s="155"/>
    </row>
    <row r="5" spans="1:14" s="39" customFormat="1" ht="15.75" thickBot="1" x14ac:dyDescent="0.3">
      <c r="A5" s="280"/>
      <c r="B5" s="43"/>
      <c r="C5" s="155"/>
      <c r="D5" s="155"/>
      <c r="E5" s="155"/>
      <c r="F5" s="155"/>
      <c r="G5" s="155"/>
      <c r="H5" s="155"/>
      <c r="I5" s="155"/>
      <c r="J5" s="155"/>
      <c r="K5" s="155"/>
      <c r="L5" s="155"/>
      <c r="M5" s="155"/>
      <c r="N5" s="155"/>
    </row>
    <row r="6" spans="1:14" s="39" customFormat="1" ht="15.75" thickBot="1" x14ac:dyDescent="0.3">
      <c r="A6" s="282" t="s">
        <v>54</v>
      </c>
      <c r="B6" s="283" t="str">
        <f>'2. Inputs and results'!B8</f>
        <v>District heating</v>
      </c>
      <c r="C6" s="155"/>
      <c r="D6" s="155"/>
      <c r="E6" s="155"/>
      <c r="F6" s="155"/>
      <c r="G6" s="155"/>
      <c r="H6" s="155"/>
      <c r="I6" s="155"/>
      <c r="J6" s="155"/>
      <c r="K6" s="155"/>
      <c r="L6" s="155"/>
      <c r="M6" s="155"/>
      <c r="N6" s="155"/>
    </row>
    <row r="7" spans="1:14" s="39" customFormat="1" ht="15.75" thickBot="1" x14ac:dyDescent="0.3">
      <c r="A7" s="282" t="s">
        <v>93</v>
      </c>
      <c r="B7" s="283" t="str">
        <f>'2. Inputs and results'!B9</f>
        <v>Other</v>
      </c>
      <c r="C7" s="155"/>
      <c r="D7" s="155"/>
      <c r="E7" s="155"/>
      <c r="F7" s="155"/>
      <c r="G7" s="155"/>
      <c r="H7" s="155"/>
      <c r="I7" s="155"/>
      <c r="J7" s="155"/>
      <c r="K7" s="155"/>
      <c r="L7" s="155"/>
      <c r="M7" s="155"/>
      <c r="N7" s="155"/>
    </row>
    <row r="8" spans="1:14" s="39" customFormat="1" ht="15.75" thickBot="1" x14ac:dyDescent="0.3">
      <c r="A8" s="281" t="s">
        <v>104</v>
      </c>
      <c r="B8" s="63" t="str">
        <f>'2. Inputs and results'!B10</f>
        <v>None</v>
      </c>
      <c r="C8" s="155"/>
      <c r="D8" s="155"/>
      <c r="E8" s="155"/>
      <c r="F8" s="155"/>
      <c r="G8" s="155"/>
      <c r="H8" s="155"/>
      <c r="I8" s="155"/>
      <c r="J8" s="155"/>
      <c r="K8" s="155"/>
      <c r="L8" s="155"/>
      <c r="M8" s="155"/>
      <c r="N8" s="155"/>
    </row>
    <row r="9" spans="1:14" s="39" customFormat="1" x14ac:dyDescent="0.25">
      <c r="A9" s="155"/>
      <c r="B9" s="155"/>
      <c r="C9" s="155"/>
      <c r="D9" s="155"/>
      <c r="E9" s="155"/>
      <c r="F9" s="155"/>
      <c r="G9" s="155"/>
      <c r="H9" s="155"/>
      <c r="I9" s="155"/>
      <c r="J9" s="155"/>
      <c r="K9" s="155"/>
      <c r="L9" s="155"/>
      <c r="M9" s="155"/>
      <c r="N9" s="155"/>
    </row>
    <row r="10" spans="1:14" s="39" customFormat="1" x14ac:dyDescent="0.25">
      <c r="A10" s="155"/>
      <c r="B10" s="155"/>
      <c r="C10" s="155"/>
      <c r="D10" s="155"/>
      <c r="E10" s="155"/>
      <c r="F10" s="155"/>
      <c r="G10" s="155"/>
      <c r="H10" s="155"/>
      <c r="I10" s="155"/>
      <c r="J10" s="155"/>
      <c r="K10" s="155"/>
      <c r="L10" s="155"/>
      <c r="M10" s="155"/>
      <c r="N10" s="155"/>
    </row>
    <row r="11" spans="1:14" ht="18.75" x14ac:dyDescent="0.3">
      <c r="A11" s="216" t="str">
        <f>'2. Inputs and results'!B19</f>
        <v xml:space="preserve">Ventilation system with heat recovery </v>
      </c>
      <c r="B11" s="155"/>
      <c r="C11" s="155"/>
      <c r="D11" s="155"/>
      <c r="E11" s="216" t="str">
        <f>'2. Inputs and results'!C19</f>
        <v>Geothermal heat pump system</v>
      </c>
      <c r="F11" s="155"/>
      <c r="G11" s="155"/>
      <c r="H11" s="155"/>
      <c r="I11" s="155"/>
      <c r="J11" s="155"/>
      <c r="K11" s="155"/>
      <c r="L11" s="155"/>
      <c r="M11" s="155"/>
      <c r="N11" s="155"/>
    </row>
    <row r="12" spans="1:14" x14ac:dyDescent="0.25">
      <c r="A12" s="155"/>
      <c r="B12" s="155"/>
      <c r="C12" s="155"/>
      <c r="D12" s="155"/>
      <c r="E12" s="155"/>
      <c r="F12" s="155"/>
      <c r="G12" s="155"/>
      <c r="H12" s="155"/>
      <c r="I12" s="155"/>
      <c r="J12" s="155"/>
      <c r="K12" s="155"/>
      <c r="L12" s="155"/>
      <c r="M12" s="155"/>
      <c r="N12" s="155"/>
    </row>
    <row r="13" spans="1:14" x14ac:dyDescent="0.25">
      <c r="A13" s="155"/>
      <c r="B13" s="155"/>
      <c r="C13" s="155"/>
      <c r="D13" s="155"/>
      <c r="E13" s="155"/>
      <c r="F13" s="155"/>
      <c r="G13" s="155"/>
      <c r="H13" s="155"/>
      <c r="I13" s="155"/>
      <c r="J13" s="155"/>
      <c r="K13" s="155"/>
      <c r="L13" s="155"/>
      <c r="M13" s="155"/>
      <c r="N13" s="155"/>
    </row>
    <row r="14" spans="1:14" x14ac:dyDescent="0.25">
      <c r="A14" s="155"/>
      <c r="B14" s="155"/>
      <c r="C14" s="155"/>
      <c r="D14" s="155"/>
      <c r="E14" s="155"/>
      <c r="F14" s="155"/>
      <c r="G14" s="155"/>
      <c r="H14" s="155"/>
      <c r="I14" s="155"/>
      <c r="J14" s="155"/>
      <c r="K14" s="155"/>
      <c r="L14" s="155"/>
      <c r="M14" s="155"/>
      <c r="N14" s="155"/>
    </row>
    <row r="15" spans="1:14" x14ac:dyDescent="0.25">
      <c r="A15" s="155"/>
      <c r="B15" s="155"/>
      <c r="C15" s="155"/>
      <c r="D15" s="155"/>
      <c r="E15" s="155"/>
      <c r="F15" s="155"/>
      <c r="G15" s="155"/>
      <c r="H15" s="155"/>
      <c r="I15" s="155"/>
      <c r="J15" s="155"/>
      <c r="K15" s="155"/>
      <c r="L15" s="155"/>
      <c r="M15" s="155"/>
      <c r="N15" s="155"/>
    </row>
    <row r="16" spans="1:14" x14ac:dyDescent="0.25">
      <c r="A16" s="155"/>
      <c r="B16" s="155"/>
      <c r="C16" s="155"/>
      <c r="D16" s="155"/>
      <c r="E16" s="155"/>
      <c r="F16" s="155"/>
      <c r="G16" s="155"/>
      <c r="H16" s="155"/>
      <c r="I16" s="155"/>
      <c r="J16" s="155"/>
      <c r="K16" s="155"/>
      <c r="L16" s="155"/>
      <c r="M16" s="155"/>
      <c r="N16" s="155"/>
    </row>
    <row r="17" spans="1:14" x14ac:dyDescent="0.25">
      <c r="A17" s="155"/>
      <c r="B17" s="155"/>
      <c r="C17" s="155"/>
      <c r="D17" s="155"/>
      <c r="E17" s="155"/>
      <c r="F17" s="155"/>
      <c r="G17" s="155"/>
      <c r="H17" s="155"/>
      <c r="I17" s="155"/>
      <c r="J17" s="155"/>
      <c r="K17" s="155"/>
      <c r="L17" s="155"/>
      <c r="M17" s="155"/>
      <c r="N17" s="155"/>
    </row>
    <row r="18" spans="1:14" x14ac:dyDescent="0.25">
      <c r="A18" s="155"/>
      <c r="B18" s="155"/>
      <c r="C18" s="155"/>
      <c r="D18" s="155"/>
      <c r="E18" s="155"/>
      <c r="F18" s="155"/>
      <c r="G18" s="155"/>
      <c r="H18" s="155"/>
      <c r="I18" s="155"/>
      <c r="J18" s="155"/>
      <c r="K18" s="155"/>
      <c r="L18" s="155"/>
      <c r="M18" s="155"/>
      <c r="N18" s="155"/>
    </row>
    <row r="19" spans="1:14" x14ac:dyDescent="0.25">
      <c r="A19" s="155"/>
      <c r="B19" s="155"/>
      <c r="C19" s="155"/>
      <c r="D19" s="155"/>
      <c r="E19" s="155"/>
      <c r="F19" s="155"/>
      <c r="G19" s="155"/>
      <c r="H19" s="155"/>
      <c r="I19" s="155"/>
      <c r="J19" s="155"/>
      <c r="K19" s="155"/>
      <c r="L19" s="155"/>
      <c r="M19" s="155"/>
      <c r="N19" s="155"/>
    </row>
    <row r="20" spans="1:14" x14ac:dyDescent="0.25">
      <c r="A20" s="155"/>
      <c r="B20" s="155"/>
      <c r="C20" s="155"/>
      <c r="D20" s="155"/>
      <c r="E20" s="155"/>
      <c r="F20" s="155"/>
      <c r="G20" s="155"/>
      <c r="H20" s="155"/>
      <c r="I20" s="155"/>
      <c r="J20" s="155"/>
      <c r="K20" s="155"/>
      <c r="L20" s="155"/>
      <c r="M20" s="155"/>
      <c r="N20" s="155"/>
    </row>
    <row r="21" spans="1:14" x14ac:dyDescent="0.25">
      <c r="A21" s="155"/>
      <c r="B21" s="155"/>
      <c r="C21" s="155"/>
      <c r="D21" s="155"/>
      <c r="E21" s="155"/>
      <c r="F21" s="155"/>
      <c r="G21" s="155"/>
      <c r="H21" s="155"/>
      <c r="I21" s="155"/>
      <c r="J21" s="155"/>
      <c r="K21" s="155"/>
      <c r="L21" s="155"/>
      <c r="M21" s="155"/>
      <c r="N21" s="155"/>
    </row>
    <row r="22" spans="1:14" x14ac:dyDescent="0.25">
      <c r="A22" s="155"/>
      <c r="B22" s="155"/>
      <c r="C22" s="155"/>
      <c r="D22" s="155"/>
      <c r="E22" s="155"/>
      <c r="F22" s="155"/>
      <c r="G22" s="155"/>
      <c r="H22" s="155"/>
      <c r="I22" s="155"/>
      <c r="J22" s="155"/>
      <c r="K22" s="155"/>
      <c r="L22" s="155"/>
      <c r="M22" s="155"/>
      <c r="N22" s="155"/>
    </row>
    <row r="23" spans="1:14" x14ac:dyDescent="0.25">
      <c r="A23" s="155"/>
      <c r="B23" s="155"/>
      <c r="C23" s="155"/>
      <c r="D23" s="155"/>
      <c r="E23" s="155"/>
      <c r="F23" s="155"/>
      <c r="G23" s="155"/>
      <c r="H23" s="155"/>
      <c r="I23" s="155"/>
      <c r="J23" s="155"/>
      <c r="K23" s="155"/>
      <c r="L23" s="155"/>
      <c r="M23" s="155"/>
      <c r="N23" s="155"/>
    </row>
    <row r="24" spans="1:14" x14ac:dyDescent="0.25">
      <c r="A24" s="155"/>
      <c r="B24" s="155"/>
      <c r="C24" s="155"/>
      <c r="D24" s="155"/>
      <c r="E24" s="155"/>
      <c r="F24" s="155"/>
      <c r="G24" s="155"/>
      <c r="H24" s="155"/>
      <c r="I24" s="155"/>
      <c r="J24" s="155"/>
      <c r="K24" s="155"/>
      <c r="L24" s="155"/>
      <c r="M24" s="155"/>
      <c r="N24" s="155"/>
    </row>
    <row r="25" spans="1:14" x14ac:dyDescent="0.25">
      <c r="A25" s="155"/>
      <c r="B25" s="155"/>
      <c r="C25" s="155"/>
      <c r="D25" s="155"/>
      <c r="E25" s="155"/>
      <c r="F25" s="155"/>
      <c r="G25" s="155"/>
      <c r="H25" s="155"/>
      <c r="I25" s="155"/>
      <c r="J25" s="155"/>
      <c r="K25" s="155"/>
      <c r="L25" s="155"/>
      <c r="M25" s="155"/>
      <c r="N25" s="155"/>
    </row>
    <row r="26" spans="1:14" x14ac:dyDescent="0.25">
      <c r="A26" s="155"/>
      <c r="B26" s="155"/>
      <c r="C26" s="155"/>
      <c r="D26" s="155"/>
      <c r="E26" s="155"/>
      <c r="F26" s="155"/>
      <c r="G26" s="155"/>
      <c r="H26" s="155"/>
      <c r="I26" s="155"/>
      <c r="J26" s="155"/>
      <c r="K26" s="155"/>
      <c r="L26" s="155"/>
      <c r="M26" s="155"/>
      <c r="N26" s="155"/>
    </row>
    <row r="27" spans="1:14" x14ac:dyDescent="0.25">
      <c r="A27" s="155"/>
      <c r="B27" s="155"/>
      <c r="C27" s="155"/>
      <c r="D27" s="155"/>
      <c r="E27" s="155"/>
      <c r="F27" s="155"/>
      <c r="G27" s="155"/>
      <c r="H27" s="155"/>
      <c r="I27" s="155"/>
      <c r="J27" s="155"/>
      <c r="K27" s="155"/>
      <c r="L27" s="155"/>
      <c r="M27" s="155"/>
      <c r="N27" s="155"/>
    </row>
    <row r="28" spans="1:14" x14ac:dyDescent="0.25">
      <c r="A28" s="155"/>
      <c r="B28" s="155"/>
      <c r="C28" s="155"/>
      <c r="D28" s="155"/>
      <c r="E28" s="155"/>
      <c r="F28" s="155"/>
      <c r="G28" s="155"/>
      <c r="H28" s="155"/>
      <c r="I28" s="155"/>
      <c r="J28" s="155"/>
      <c r="K28" s="155"/>
      <c r="L28" s="155"/>
      <c r="M28" s="155"/>
      <c r="N28" s="155"/>
    </row>
    <row r="29" spans="1:14" x14ac:dyDescent="0.25">
      <c r="A29" s="155"/>
      <c r="B29" s="155"/>
      <c r="C29" s="155"/>
      <c r="D29" s="155"/>
      <c r="E29" s="155"/>
      <c r="F29" s="155"/>
      <c r="G29" s="155"/>
      <c r="H29" s="155"/>
      <c r="I29" s="155"/>
      <c r="J29" s="155"/>
      <c r="K29" s="155"/>
      <c r="L29" s="155"/>
      <c r="M29" s="155"/>
      <c r="N29" s="155"/>
    </row>
    <row r="30" spans="1:14" x14ac:dyDescent="0.25">
      <c r="A30" s="155"/>
      <c r="B30" s="155"/>
      <c r="C30" s="155"/>
      <c r="D30" s="155"/>
      <c r="E30" s="155"/>
      <c r="F30" s="155"/>
      <c r="G30" s="155"/>
      <c r="H30" s="155"/>
      <c r="I30" s="155"/>
      <c r="J30" s="155"/>
      <c r="K30" s="155"/>
      <c r="L30" s="155"/>
      <c r="M30" s="155"/>
      <c r="N30" s="155"/>
    </row>
    <row r="31" spans="1:14" x14ac:dyDescent="0.25">
      <c r="A31" s="155"/>
      <c r="B31" s="155"/>
      <c r="C31" s="155"/>
      <c r="D31" s="155"/>
      <c r="E31" s="155"/>
      <c r="F31" s="155"/>
      <c r="G31" s="155"/>
      <c r="H31" s="155"/>
      <c r="I31" s="155"/>
      <c r="J31" s="155"/>
      <c r="K31" s="155"/>
      <c r="L31" s="155"/>
      <c r="M31" s="155"/>
      <c r="N31" s="155"/>
    </row>
    <row r="32" spans="1:14" x14ac:dyDescent="0.25">
      <c r="A32" s="155"/>
      <c r="B32" s="155"/>
      <c r="C32" s="155"/>
      <c r="D32" s="155"/>
      <c r="E32" s="155"/>
      <c r="F32" s="155"/>
      <c r="G32" s="155"/>
      <c r="H32" s="155"/>
      <c r="I32" s="155"/>
      <c r="J32" s="155"/>
      <c r="K32" s="155"/>
      <c r="L32" s="155"/>
      <c r="M32" s="155"/>
      <c r="N32" s="155"/>
    </row>
    <row r="33" spans="1:14" ht="18.75" x14ac:dyDescent="0.3">
      <c r="A33" s="216" t="str">
        <f>'2. Inputs and results'!B19</f>
        <v xml:space="preserve">Ventilation system with heat recovery </v>
      </c>
      <c r="B33" s="155"/>
      <c r="D33" s="155"/>
      <c r="E33" s="216" t="str">
        <f>'2. Inputs and results'!C19</f>
        <v>Geothermal heat pump system</v>
      </c>
      <c r="F33" s="155"/>
      <c r="G33" s="155"/>
      <c r="H33" s="155"/>
      <c r="I33" s="155"/>
      <c r="J33" s="155"/>
      <c r="K33" s="155"/>
      <c r="L33" s="155"/>
      <c r="M33" s="155"/>
      <c r="N33" s="155"/>
    </row>
    <row r="34" spans="1:14" x14ac:dyDescent="0.25">
      <c r="A34" s="155"/>
      <c r="B34" s="155"/>
      <c r="C34" s="155"/>
      <c r="D34" s="155"/>
      <c r="E34" s="155"/>
      <c r="F34" s="155"/>
      <c r="G34" s="155"/>
      <c r="H34" s="155"/>
      <c r="I34" s="155"/>
      <c r="J34" s="155"/>
      <c r="K34" s="155"/>
      <c r="L34" s="155"/>
      <c r="M34" s="155"/>
      <c r="N34" s="155"/>
    </row>
    <row r="35" spans="1:14" x14ac:dyDescent="0.25">
      <c r="A35" s="155"/>
      <c r="B35" s="155"/>
      <c r="C35" s="155"/>
      <c r="D35" s="155"/>
      <c r="E35" s="155"/>
      <c r="F35" s="155"/>
      <c r="G35" s="155"/>
      <c r="H35" s="155"/>
      <c r="I35" s="155"/>
      <c r="J35" s="155"/>
      <c r="K35" s="155"/>
      <c r="L35" s="155"/>
      <c r="M35" s="155"/>
      <c r="N35" s="155"/>
    </row>
    <row r="36" spans="1:14" x14ac:dyDescent="0.25">
      <c r="A36" s="155"/>
      <c r="B36" s="155"/>
      <c r="C36" s="155"/>
      <c r="D36" s="155"/>
      <c r="E36" s="155"/>
      <c r="F36" s="155"/>
      <c r="G36" s="155"/>
      <c r="H36" s="155"/>
      <c r="I36" s="155"/>
      <c r="J36" s="155"/>
      <c r="K36" s="155"/>
      <c r="L36" s="155"/>
      <c r="M36" s="155"/>
      <c r="N36" s="155"/>
    </row>
    <row r="37" spans="1:14" x14ac:dyDescent="0.25">
      <c r="A37" s="155"/>
      <c r="B37" s="155"/>
      <c r="C37" s="155"/>
      <c r="D37" s="155"/>
      <c r="E37" s="155"/>
      <c r="F37" s="155"/>
      <c r="G37" s="155"/>
      <c r="H37" s="155"/>
      <c r="I37" s="155"/>
      <c r="J37" s="155"/>
      <c r="K37" s="155"/>
      <c r="L37" s="155"/>
      <c r="M37" s="155"/>
      <c r="N37" s="155"/>
    </row>
    <row r="38" spans="1:14" x14ac:dyDescent="0.25">
      <c r="A38" s="155"/>
      <c r="B38" s="155"/>
      <c r="C38" s="155"/>
      <c r="D38" s="155"/>
      <c r="E38" s="155"/>
      <c r="F38" s="155"/>
      <c r="G38" s="155"/>
      <c r="H38" s="155"/>
      <c r="I38" s="155"/>
      <c r="J38" s="155"/>
      <c r="K38" s="155"/>
      <c r="L38" s="155"/>
      <c r="M38" s="155"/>
      <c r="N38" s="155"/>
    </row>
    <row r="39" spans="1:14" x14ac:dyDescent="0.25">
      <c r="A39" s="155"/>
      <c r="B39" s="155"/>
      <c r="C39" s="155"/>
      <c r="D39" s="155"/>
      <c r="E39" s="155"/>
      <c r="F39" s="155"/>
      <c r="G39" s="155"/>
      <c r="H39" s="155"/>
      <c r="I39" s="155"/>
      <c r="J39" s="155"/>
      <c r="K39" s="155"/>
      <c r="L39" s="155"/>
      <c r="M39" s="155"/>
      <c r="N39" s="155"/>
    </row>
    <row r="40" spans="1:14" x14ac:dyDescent="0.25">
      <c r="A40" s="155"/>
      <c r="B40" s="155"/>
      <c r="C40" s="155"/>
      <c r="D40" s="155"/>
      <c r="E40" s="155"/>
      <c r="F40" s="155"/>
      <c r="G40" s="155"/>
      <c r="H40" s="155"/>
      <c r="I40" s="155"/>
      <c r="J40" s="155"/>
      <c r="K40" s="155"/>
      <c r="L40" s="155"/>
      <c r="M40" s="155"/>
      <c r="N40" s="155"/>
    </row>
    <row r="41" spans="1:14" x14ac:dyDescent="0.25">
      <c r="A41" s="155"/>
      <c r="B41" s="155"/>
      <c r="C41" s="155"/>
      <c r="D41" s="155"/>
      <c r="E41" s="155"/>
      <c r="F41" s="155"/>
      <c r="G41" s="155"/>
      <c r="H41" s="155"/>
      <c r="I41" s="155"/>
      <c r="J41" s="155"/>
      <c r="K41" s="155"/>
      <c r="L41" s="155"/>
      <c r="M41" s="155"/>
      <c r="N41" s="155"/>
    </row>
    <row r="42" spans="1:14" x14ac:dyDescent="0.25">
      <c r="A42" s="155"/>
      <c r="B42" s="155"/>
      <c r="C42" s="155"/>
      <c r="D42" s="155"/>
      <c r="E42" s="155"/>
      <c r="F42" s="155"/>
      <c r="G42" s="155"/>
      <c r="H42" s="155"/>
      <c r="I42" s="155"/>
      <c r="J42" s="155"/>
      <c r="K42" s="155"/>
      <c r="L42" s="155"/>
      <c r="M42" s="155"/>
      <c r="N42" s="155"/>
    </row>
    <row r="43" spans="1:14" x14ac:dyDescent="0.25">
      <c r="A43" s="155"/>
      <c r="B43" s="155"/>
      <c r="C43" s="155"/>
      <c r="D43" s="155"/>
      <c r="E43" s="155"/>
      <c r="F43" s="155"/>
      <c r="G43" s="155"/>
      <c r="H43" s="155"/>
      <c r="I43" s="155"/>
      <c r="J43" s="155"/>
      <c r="K43" s="155"/>
      <c r="L43" s="155"/>
      <c r="M43" s="155"/>
      <c r="N43" s="155"/>
    </row>
    <row r="44" spans="1:14" x14ac:dyDescent="0.25">
      <c r="A44" s="155"/>
      <c r="B44" s="155"/>
      <c r="C44" s="155"/>
      <c r="D44" s="155"/>
      <c r="E44" s="155"/>
      <c r="F44" s="155"/>
      <c r="G44" s="155"/>
      <c r="H44" s="155"/>
      <c r="I44" s="155"/>
      <c r="J44" s="155"/>
      <c r="K44" s="155"/>
      <c r="L44" s="155"/>
      <c r="M44" s="155"/>
      <c r="N44" s="155"/>
    </row>
    <row r="45" spans="1:14" x14ac:dyDescent="0.25">
      <c r="A45" s="155"/>
      <c r="B45" s="155"/>
      <c r="C45" s="155"/>
      <c r="D45" s="155"/>
      <c r="E45" s="155"/>
      <c r="F45" s="155"/>
      <c r="G45" s="155"/>
      <c r="H45" s="155"/>
      <c r="I45" s="155"/>
      <c r="J45" s="155"/>
      <c r="K45" s="155"/>
      <c r="L45" s="155"/>
      <c r="M45" s="155"/>
      <c r="N45" s="155"/>
    </row>
    <row r="46" spans="1:14" x14ac:dyDescent="0.25">
      <c r="A46" s="155"/>
      <c r="B46" s="155"/>
      <c r="C46" s="155"/>
      <c r="D46" s="155"/>
      <c r="E46" s="155"/>
      <c r="F46" s="155"/>
      <c r="G46" s="155"/>
      <c r="H46" s="155"/>
      <c r="I46" s="155"/>
      <c r="J46" s="155"/>
      <c r="K46" s="155"/>
      <c r="L46" s="155"/>
      <c r="M46" s="155"/>
      <c r="N46" s="155"/>
    </row>
    <row r="47" spans="1:14" x14ac:dyDescent="0.25">
      <c r="A47" s="155"/>
      <c r="B47" s="155"/>
      <c r="C47" s="155"/>
      <c r="D47" s="155"/>
      <c r="E47" s="155"/>
      <c r="F47" s="155"/>
      <c r="G47" s="155"/>
      <c r="H47" s="155"/>
      <c r="I47" s="155"/>
      <c r="J47" s="155"/>
      <c r="K47" s="155"/>
      <c r="L47" s="155"/>
      <c r="M47" s="155"/>
      <c r="N47" s="155"/>
    </row>
    <row r="48" spans="1:14" x14ac:dyDescent="0.25">
      <c r="A48" s="155"/>
      <c r="B48" s="155"/>
      <c r="C48" s="155"/>
      <c r="D48" s="155"/>
      <c r="E48" s="155"/>
      <c r="F48" s="155"/>
      <c r="G48" s="155"/>
      <c r="H48" s="155"/>
      <c r="I48" s="155"/>
      <c r="J48" s="155"/>
      <c r="K48" s="155"/>
      <c r="L48" s="155"/>
      <c r="M48" s="155"/>
      <c r="N48" s="155"/>
    </row>
    <row r="49" spans="1:14" x14ac:dyDescent="0.25">
      <c r="A49" s="155"/>
      <c r="B49" s="155"/>
      <c r="C49" s="155"/>
      <c r="D49" s="155"/>
      <c r="E49" s="155"/>
      <c r="F49" s="155"/>
      <c r="G49" s="155"/>
      <c r="H49" s="155"/>
      <c r="I49" s="155"/>
      <c r="J49" s="155"/>
      <c r="K49" s="155"/>
      <c r="L49" s="155"/>
      <c r="M49" s="155"/>
      <c r="N49" s="155"/>
    </row>
    <row r="50" spans="1:14" x14ac:dyDescent="0.25">
      <c r="A50" s="155"/>
      <c r="B50" s="155"/>
      <c r="C50" s="155"/>
      <c r="D50" s="155"/>
      <c r="E50" s="155"/>
      <c r="F50" s="155"/>
      <c r="G50" s="155"/>
      <c r="H50" s="155"/>
      <c r="I50" s="155"/>
      <c r="J50" s="155"/>
      <c r="K50" s="155"/>
      <c r="L50" s="155"/>
      <c r="M50" s="155"/>
      <c r="N50" s="155"/>
    </row>
    <row r="51" spans="1:14" x14ac:dyDescent="0.25">
      <c r="A51" s="155"/>
      <c r="B51" s="155"/>
      <c r="C51" s="155"/>
      <c r="D51" s="155"/>
      <c r="E51" s="155"/>
      <c r="F51" s="155"/>
      <c r="G51" s="155"/>
      <c r="H51" s="155"/>
      <c r="I51" s="155"/>
      <c r="J51" s="155"/>
      <c r="K51" s="155"/>
      <c r="L51" s="155"/>
      <c r="M51" s="155"/>
      <c r="N51" s="155"/>
    </row>
    <row r="52" spans="1:14" x14ac:dyDescent="0.25">
      <c r="A52" s="155"/>
      <c r="B52" s="155"/>
      <c r="C52" s="155"/>
      <c r="D52" s="155"/>
      <c r="E52" s="155"/>
      <c r="F52" s="155"/>
      <c r="G52" s="155"/>
      <c r="H52" s="155"/>
      <c r="I52" s="155"/>
      <c r="J52" s="155"/>
      <c r="K52" s="155"/>
      <c r="L52" s="155"/>
      <c r="M52" s="155"/>
      <c r="N52" s="155"/>
    </row>
    <row r="53" spans="1:14" x14ac:dyDescent="0.25">
      <c r="A53" s="155"/>
      <c r="B53" s="155"/>
      <c r="C53" s="155"/>
      <c r="D53" s="155"/>
      <c r="E53" s="155"/>
      <c r="F53" s="155"/>
      <c r="G53" s="155"/>
      <c r="H53" s="155"/>
      <c r="I53" s="155"/>
      <c r="J53" s="155"/>
      <c r="K53" s="155"/>
      <c r="L53" s="155"/>
      <c r="M53" s="155"/>
      <c r="N53" s="155"/>
    </row>
    <row r="54" spans="1:14" s="39" customFormat="1" x14ac:dyDescent="0.25">
      <c r="A54" s="155"/>
      <c r="B54" s="155"/>
      <c r="C54" s="155"/>
      <c r="D54" s="155"/>
      <c r="E54" s="155"/>
      <c r="F54" s="155"/>
      <c r="G54" s="155"/>
      <c r="H54" s="155"/>
      <c r="I54" s="155"/>
      <c r="J54" s="155"/>
      <c r="K54" s="155"/>
      <c r="L54" s="155"/>
      <c r="M54" s="155"/>
      <c r="N54" s="155"/>
    </row>
    <row r="55" spans="1:14" ht="18.75" x14ac:dyDescent="0.3">
      <c r="A55" s="216" t="str">
        <f>'2. Inputs and results'!B19</f>
        <v xml:space="preserve">Ventilation system with heat recovery </v>
      </c>
      <c r="B55" s="155"/>
      <c r="D55" s="155"/>
      <c r="E55" s="216" t="str">
        <f>'2. Inputs and results'!C19</f>
        <v>Geothermal heat pump system</v>
      </c>
      <c r="F55" s="155"/>
      <c r="G55" s="155"/>
      <c r="H55" s="155"/>
      <c r="I55" s="155"/>
      <c r="J55" s="155"/>
      <c r="K55" s="155"/>
      <c r="L55" s="155"/>
      <c r="M55" s="155"/>
      <c r="N55" s="155"/>
    </row>
    <row r="56" spans="1:14" x14ac:dyDescent="0.25">
      <c r="A56" s="155"/>
      <c r="B56" s="155"/>
      <c r="C56" s="155"/>
      <c r="D56" s="155"/>
      <c r="E56" s="155"/>
      <c r="F56" s="155"/>
      <c r="G56" s="155"/>
      <c r="H56" s="155"/>
      <c r="I56" s="155"/>
      <c r="J56" s="155"/>
      <c r="K56" s="155"/>
      <c r="L56" s="155"/>
      <c r="M56" s="155"/>
      <c r="N56" s="155"/>
    </row>
    <row r="57" spans="1:14" x14ac:dyDescent="0.25">
      <c r="A57" s="155"/>
      <c r="B57" s="155"/>
      <c r="C57" s="155"/>
      <c r="D57" s="155"/>
      <c r="E57" s="155"/>
      <c r="F57" s="155"/>
      <c r="G57" s="155"/>
      <c r="H57" s="155"/>
      <c r="I57" s="155"/>
      <c r="J57" s="155"/>
      <c r="K57" s="155"/>
      <c r="L57" s="155"/>
      <c r="M57" s="155"/>
      <c r="N57" s="155"/>
    </row>
    <row r="58" spans="1:14" x14ac:dyDescent="0.25">
      <c r="A58" s="155"/>
      <c r="B58" s="155"/>
      <c r="C58" s="155"/>
      <c r="D58" s="155"/>
      <c r="E58" s="155"/>
      <c r="F58" s="155"/>
      <c r="G58" s="155"/>
      <c r="H58" s="155"/>
      <c r="I58" s="155"/>
      <c r="J58" s="155"/>
      <c r="K58" s="155"/>
      <c r="L58" s="155"/>
      <c r="M58" s="155"/>
      <c r="N58" s="155"/>
    </row>
    <row r="59" spans="1:14" x14ac:dyDescent="0.25">
      <c r="A59" s="155"/>
      <c r="B59" s="155"/>
      <c r="C59" s="155"/>
      <c r="D59" s="155"/>
      <c r="E59" s="155"/>
      <c r="F59" s="155"/>
      <c r="G59" s="155"/>
      <c r="H59" s="155"/>
      <c r="I59" s="155"/>
      <c r="J59" s="155"/>
      <c r="K59" s="155"/>
      <c r="L59" s="155"/>
      <c r="M59" s="155"/>
      <c r="N59" s="155"/>
    </row>
    <row r="60" spans="1:14" x14ac:dyDescent="0.25">
      <c r="A60" s="155"/>
      <c r="B60" s="155"/>
      <c r="C60" s="155"/>
      <c r="D60" s="155"/>
      <c r="E60" s="155"/>
      <c r="F60" s="155"/>
      <c r="G60" s="155"/>
      <c r="H60" s="155"/>
      <c r="I60" s="155"/>
      <c r="J60" s="155"/>
      <c r="K60" s="155"/>
      <c r="L60" s="155"/>
      <c r="M60" s="155"/>
      <c r="N60" s="155"/>
    </row>
    <row r="61" spans="1:14" x14ac:dyDescent="0.25">
      <c r="A61" s="155"/>
      <c r="B61" s="155"/>
      <c r="C61" s="155"/>
      <c r="D61" s="155"/>
      <c r="E61" s="155"/>
      <c r="F61" s="155"/>
      <c r="G61" s="155"/>
      <c r="H61" s="155"/>
      <c r="I61" s="155"/>
      <c r="J61" s="155"/>
      <c r="K61" s="155"/>
      <c r="L61" s="155"/>
      <c r="M61" s="155"/>
      <c r="N61" s="155"/>
    </row>
    <row r="62" spans="1:14" x14ac:dyDescent="0.25">
      <c r="A62" s="155"/>
      <c r="B62" s="155"/>
      <c r="C62" s="155"/>
      <c r="D62" s="155"/>
      <c r="E62" s="155"/>
      <c r="F62" s="155"/>
      <c r="G62" s="155"/>
      <c r="H62" s="155"/>
      <c r="I62" s="155"/>
      <c r="J62" s="155"/>
      <c r="K62" s="155"/>
      <c r="L62" s="155"/>
      <c r="M62" s="155"/>
      <c r="N62" s="155"/>
    </row>
    <row r="63" spans="1:14" x14ac:dyDescent="0.25">
      <c r="A63" s="155"/>
      <c r="B63" s="155"/>
      <c r="C63" s="155"/>
      <c r="D63" s="155"/>
      <c r="E63" s="155"/>
      <c r="F63" s="155"/>
      <c r="G63" s="155"/>
      <c r="H63" s="155"/>
      <c r="I63" s="155"/>
      <c r="J63" s="155"/>
      <c r="K63" s="155"/>
      <c r="L63" s="155"/>
      <c r="M63" s="155"/>
      <c r="N63" s="155"/>
    </row>
    <row r="64" spans="1:14" x14ac:dyDescent="0.25">
      <c r="A64" s="155"/>
      <c r="B64" s="155"/>
      <c r="C64" s="155"/>
      <c r="D64" s="155"/>
      <c r="E64" s="155"/>
      <c r="F64" s="155"/>
      <c r="G64" s="155"/>
      <c r="H64" s="155"/>
      <c r="I64" s="155"/>
      <c r="J64" s="155"/>
      <c r="K64" s="155"/>
      <c r="L64" s="155"/>
      <c r="M64" s="155"/>
      <c r="N64" s="155"/>
    </row>
    <row r="65" spans="1:14" x14ac:dyDescent="0.25">
      <c r="A65" s="155"/>
      <c r="B65" s="155"/>
      <c r="C65" s="155"/>
      <c r="D65" s="155"/>
      <c r="E65" s="155"/>
      <c r="F65" s="155"/>
      <c r="G65" s="155"/>
      <c r="H65" s="155"/>
      <c r="I65" s="155"/>
      <c r="J65" s="155"/>
      <c r="K65" s="155"/>
      <c r="L65" s="155"/>
      <c r="M65" s="155"/>
      <c r="N65" s="155"/>
    </row>
    <row r="66" spans="1:14" x14ac:dyDescent="0.25">
      <c r="A66" s="155"/>
      <c r="B66" s="155"/>
      <c r="C66" s="155"/>
      <c r="D66" s="155"/>
      <c r="E66" s="155"/>
      <c r="F66" s="155"/>
      <c r="G66" s="155"/>
      <c r="H66" s="155"/>
      <c r="I66" s="155"/>
      <c r="J66" s="155"/>
      <c r="K66" s="155"/>
      <c r="L66" s="155"/>
      <c r="M66" s="155"/>
      <c r="N66" s="155"/>
    </row>
    <row r="67" spans="1:14" x14ac:dyDescent="0.25">
      <c r="A67" s="155"/>
      <c r="B67" s="155"/>
      <c r="C67" s="155"/>
      <c r="D67" s="155"/>
      <c r="E67" s="155"/>
      <c r="F67" s="155"/>
      <c r="G67" s="155"/>
      <c r="H67" s="155"/>
      <c r="I67" s="155"/>
      <c r="J67" s="155"/>
      <c r="K67" s="155"/>
      <c r="L67" s="155"/>
      <c r="M67" s="155"/>
      <c r="N67" s="155"/>
    </row>
    <row r="68" spans="1:14" x14ac:dyDescent="0.25">
      <c r="A68" s="155"/>
      <c r="B68" s="155"/>
      <c r="C68" s="155"/>
      <c r="D68" s="155"/>
      <c r="E68" s="155"/>
      <c r="F68" s="155"/>
      <c r="G68" s="155"/>
      <c r="H68" s="155"/>
      <c r="I68" s="155"/>
      <c r="J68" s="155"/>
      <c r="K68" s="155"/>
      <c r="L68" s="155"/>
      <c r="M68" s="155"/>
      <c r="N68" s="155"/>
    </row>
    <row r="69" spans="1:14" x14ac:dyDescent="0.25">
      <c r="A69" s="155"/>
      <c r="B69" s="155"/>
      <c r="C69" s="155"/>
      <c r="D69" s="155"/>
      <c r="E69" s="155"/>
      <c r="F69" s="155"/>
      <c r="G69" s="155"/>
      <c r="H69" s="155"/>
      <c r="I69" s="155"/>
      <c r="J69" s="155"/>
      <c r="K69" s="155"/>
      <c r="L69" s="155"/>
      <c r="M69" s="155"/>
      <c r="N69" s="155"/>
    </row>
    <row r="70" spans="1:14" x14ac:dyDescent="0.25">
      <c r="A70" s="155"/>
      <c r="B70" s="155"/>
      <c r="C70" s="155"/>
      <c r="D70" s="155"/>
      <c r="E70" s="155"/>
      <c r="F70" s="155"/>
      <c r="G70" s="155"/>
      <c r="H70" s="155"/>
      <c r="I70" s="155"/>
      <c r="J70" s="155"/>
      <c r="K70" s="155"/>
      <c r="L70" s="155"/>
      <c r="M70" s="155"/>
      <c r="N70" s="155"/>
    </row>
    <row r="71" spans="1:14" x14ac:dyDescent="0.25">
      <c r="A71" s="155"/>
      <c r="B71" s="155"/>
      <c r="C71" s="155"/>
      <c r="D71" s="155"/>
      <c r="E71" s="155"/>
      <c r="F71" s="155"/>
      <c r="G71" s="155"/>
      <c r="H71" s="155"/>
      <c r="I71" s="155"/>
      <c r="J71" s="155"/>
      <c r="K71" s="155"/>
      <c r="L71" s="155"/>
      <c r="M71" s="155"/>
      <c r="N71" s="155"/>
    </row>
    <row r="72" spans="1:14" x14ac:dyDescent="0.25">
      <c r="A72" s="155"/>
      <c r="B72" s="155"/>
      <c r="C72" s="155"/>
      <c r="D72" s="155"/>
      <c r="E72" s="155"/>
      <c r="F72" s="155"/>
      <c r="G72" s="155"/>
      <c r="H72" s="155"/>
      <c r="I72" s="155"/>
      <c r="J72" s="155"/>
      <c r="K72" s="155"/>
      <c r="L72" s="155"/>
      <c r="M72" s="155"/>
      <c r="N72" s="155"/>
    </row>
    <row r="73" spans="1:14" x14ac:dyDescent="0.25">
      <c r="A73" s="155"/>
      <c r="B73" s="155"/>
      <c r="C73" s="155"/>
      <c r="D73" s="155"/>
      <c r="E73" s="155"/>
      <c r="F73" s="155"/>
      <c r="G73" s="155"/>
      <c r="H73" s="155"/>
      <c r="I73" s="155"/>
      <c r="J73" s="155"/>
      <c r="K73" s="155"/>
      <c r="L73" s="155"/>
      <c r="M73" s="155"/>
      <c r="N73" s="155"/>
    </row>
    <row r="74" spans="1:14" x14ac:dyDescent="0.25">
      <c r="A74" s="155"/>
      <c r="B74" s="155"/>
      <c r="C74" s="155"/>
      <c r="D74" s="155"/>
      <c r="E74" s="155"/>
      <c r="F74" s="155"/>
      <c r="G74" s="155"/>
      <c r="H74" s="155"/>
      <c r="I74" s="155"/>
      <c r="J74" s="155"/>
      <c r="K74" s="155"/>
      <c r="L74" s="155"/>
      <c r="M74" s="155"/>
      <c r="N74" s="155"/>
    </row>
    <row r="75" spans="1:14" x14ac:dyDescent="0.25">
      <c r="A75" s="155"/>
      <c r="B75" s="155"/>
      <c r="C75" s="155"/>
      <c r="D75" s="155"/>
      <c r="E75" s="155"/>
      <c r="F75" s="155"/>
      <c r="G75" s="155"/>
      <c r="H75" s="155"/>
      <c r="I75" s="155"/>
      <c r="J75" s="155"/>
      <c r="K75" s="155"/>
      <c r="L75" s="155"/>
      <c r="M75" s="155"/>
      <c r="N75" s="155"/>
    </row>
    <row r="76" spans="1:14" x14ac:dyDescent="0.25">
      <c r="A76" s="155"/>
      <c r="B76" s="155"/>
      <c r="C76" s="155"/>
      <c r="D76" s="155"/>
      <c r="E76" s="155"/>
      <c r="F76" s="155"/>
      <c r="G76" s="155"/>
      <c r="H76" s="155"/>
      <c r="I76" s="155"/>
      <c r="J76" s="155"/>
      <c r="K76" s="155"/>
      <c r="L76" s="155"/>
      <c r="M76" s="155"/>
      <c r="N76" s="155"/>
    </row>
    <row r="77" spans="1:14" x14ac:dyDescent="0.25">
      <c r="A77" s="155"/>
      <c r="B77" s="155"/>
      <c r="C77" s="155"/>
      <c r="D77" s="155"/>
      <c r="E77" s="155"/>
      <c r="F77" s="155"/>
      <c r="G77" s="155"/>
      <c r="H77" s="155"/>
      <c r="I77" s="155"/>
      <c r="J77" s="155"/>
      <c r="K77" s="155"/>
      <c r="L77" s="155"/>
      <c r="M77" s="155"/>
      <c r="N77" s="155"/>
    </row>
    <row r="78" spans="1:14" x14ac:dyDescent="0.25">
      <c r="A78" s="155"/>
      <c r="B78" s="155"/>
      <c r="C78" s="155"/>
      <c r="D78" s="155"/>
      <c r="E78" s="155"/>
      <c r="F78" s="155"/>
      <c r="G78" s="155"/>
      <c r="H78" s="155"/>
      <c r="I78" s="155"/>
      <c r="J78" s="155"/>
      <c r="K78" s="155"/>
      <c r="L78" s="155"/>
      <c r="M78" s="155"/>
      <c r="N78" s="155"/>
    </row>
    <row r="79" spans="1:14" x14ac:dyDescent="0.25">
      <c r="A79" s="155"/>
      <c r="B79" s="155"/>
      <c r="C79" s="155"/>
      <c r="D79" s="155"/>
      <c r="E79" s="155"/>
      <c r="F79" s="155"/>
      <c r="G79" s="155"/>
      <c r="H79" s="155"/>
      <c r="I79" s="155"/>
      <c r="J79" s="155"/>
      <c r="K79" s="155"/>
      <c r="L79" s="155"/>
      <c r="M79" s="155"/>
      <c r="N79" s="155"/>
    </row>
    <row r="80" spans="1:14" x14ac:dyDescent="0.25">
      <c r="A80" s="155"/>
      <c r="B80" s="155"/>
      <c r="C80" s="155"/>
      <c r="D80" s="155"/>
      <c r="E80" s="155"/>
      <c r="F80" s="155"/>
      <c r="G80" s="155"/>
      <c r="H80" s="155"/>
      <c r="I80" s="155"/>
      <c r="J80" s="155"/>
      <c r="K80" s="155"/>
      <c r="L80" s="155"/>
      <c r="M80" s="155"/>
      <c r="N80" s="155"/>
    </row>
    <row r="81" spans="1:14" x14ac:dyDescent="0.25">
      <c r="A81" s="155"/>
      <c r="B81" s="155"/>
      <c r="C81" s="155"/>
      <c r="D81" s="155"/>
      <c r="E81" s="155"/>
      <c r="F81" s="155"/>
      <c r="G81" s="155"/>
      <c r="H81" s="155"/>
      <c r="I81" s="155"/>
      <c r="J81" s="155"/>
      <c r="K81" s="155"/>
      <c r="L81" s="155"/>
      <c r="M81" s="155"/>
      <c r="N81" s="155"/>
    </row>
    <row r="82" spans="1:14" x14ac:dyDescent="0.25">
      <c r="B82" s="155"/>
      <c r="D82" s="155"/>
      <c r="F82" s="155"/>
      <c r="G82" s="155"/>
      <c r="H82" s="155"/>
      <c r="I82" s="155"/>
      <c r="J82" s="155"/>
      <c r="K82" s="155"/>
      <c r="L82" s="155"/>
      <c r="M82" s="155"/>
      <c r="N82" s="155"/>
    </row>
    <row r="83" spans="1:14" x14ac:dyDescent="0.25">
      <c r="A83" s="155"/>
      <c r="B83" s="155"/>
      <c r="C83" s="155"/>
      <c r="D83" s="155"/>
      <c r="E83" s="155"/>
      <c r="F83" s="155"/>
      <c r="G83" s="155"/>
      <c r="H83" s="155"/>
      <c r="I83" s="155"/>
      <c r="J83" s="155"/>
      <c r="K83" s="155"/>
      <c r="L83" s="155"/>
      <c r="M83" s="155"/>
      <c r="N83" s="155"/>
    </row>
    <row r="84" spans="1:14" x14ac:dyDescent="0.25">
      <c r="A84" s="155"/>
      <c r="B84" s="155"/>
      <c r="C84" s="155"/>
      <c r="D84" s="155"/>
      <c r="E84" s="155"/>
      <c r="F84" s="155"/>
      <c r="G84" s="155"/>
      <c r="H84" s="155"/>
      <c r="I84" s="155"/>
      <c r="J84" s="155"/>
      <c r="K84" s="155"/>
      <c r="L84" s="155"/>
      <c r="M84" s="155"/>
      <c r="N84" s="155"/>
    </row>
    <row r="85" spans="1:14" x14ac:dyDescent="0.25">
      <c r="A85" s="155"/>
      <c r="B85" s="155"/>
      <c r="C85" s="155"/>
      <c r="D85" s="155"/>
      <c r="E85" s="155"/>
      <c r="F85" s="155"/>
      <c r="G85" s="155"/>
      <c r="H85" s="155"/>
      <c r="I85" s="155"/>
      <c r="J85" s="155"/>
      <c r="K85" s="155"/>
      <c r="L85" s="155"/>
      <c r="M85" s="155"/>
      <c r="N85" s="155"/>
    </row>
    <row r="86" spans="1:14" ht="18.75" x14ac:dyDescent="0.3">
      <c r="A86" s="216" t="str">
        <f>'2. Inputs and results'!B19</f>
        <v xml:space="preserve">Ventilation system with heat recovery </v>
      </c>
      <c r="B86" s="155"/>
      <c r="C86" s="155"/>
      <c r="D86" s="155"/>
      <c r="E86" s="216" t="str">
        <f>'2. Inputs and results'!C19</f>
        <v>Geothermal heat pump system</v>
      </c>
      <c r="F86" s="155"/>
      <c r="G86" s="155"/>
      <c r="H86" s="155"/>
      <c r="I86" s="155"/>
      <c r="J86" s="155"/>
      <c r="K86" s="155"/>
      <c r="L86" s="155"/>
      <c r="M86" s="155"/>
      <c r="N86" s="155"/>
    </row>
    <row r="87" spans="1:14" x14ac:dyDescent="0.25">
      <c r="A87" s="155"/>
      <c r="B87" s="155"/>
      <c r="C87" s="155"/>
      <c r="D87" s="155"/>
      <c r="E87" s="155"/>
      <c r="F87" s="155"/>
      <c r="G87" s="155"/>
      <c r="H87" s="155"/>
      <c r="I87" s="155"/>
      <c r="J87" s="155"/>
      <c r="K87" s="155"/>
      <c r="L87" s="155"/>
      <c r="M87" s="155"/>
      <c r="N87" s="155"/>
    </row>
    <row r="88" spans="1:14" x14ac:dyDescent="0.25">
      <c r="A88" s="155"/>
      <c r="B88" s="155"/>
      <c r="C88" s="155"/>
      <c r="D88" s="155"/>
      <c r="E88" s="155"/>
      <c r="F88" s="155"/>
      <c r="G88" s="155"/>
      <c r="H88" s="155"/>
      <c r="I88" s="155"/>
      <c r="J88" s="155"/>
      <c r="K88" s="155"/>
      <c r="L88" s="155"/>
      <c r="M88" s="155"/>
      <c r="N88" s="155"/>
    </row>
    <row r="89" spans="1:14" x14ac:dyDescent="0.25">
      <c r="A89" s="155"/>
      <c r="B89" s="155"/>
      <c r="C89" s="155"/>
      <c r="D89" s="155"/>
      <c r="E89" s="155"/>
      <c r="F89" s="155"/>
      <c r="G89" s="155"/>
      <c r="H89" s="155"/>
      <c r="I89" s="155"/>
      <c r="J89" s="155"/>
      <c r="K89" s="155"/>
      <c r="L89" s="155"/>
      <c r="M89" s="155"/>
      <c r="N89" s="155"/>
    </row>
    <row r="90" spans="1:14" x14ac:dyDescent="0.25">
      <c r="A90" s="155"/>
      <c r="B90" s="155"/>
      <c r="C90" s="155"/>
      <c r="D90" s="155"/>
      <c r="E90" s="155"/>
      <c r="F90" s="155"/>
      <c r="G90" s="155"/>
      <c r="H90" s="155"/>
      <c r="I90" s="155"/>
      <c r="J90" s="155"/>
      <c r="K90" s="155"/>
      <c r="L90" s="155"/>
      <c r="M90" s="155"/>
      <c r="N90" s="155"/>
    </row>
    <row r="91" spans="1:14" x14ac:dyDescent="0.25">
      <c r="A91" s="155"/>
      <c r="B91" s="155"/>
      <c r="C91" s="155"/>
      <c r="D91" s="155"/>
      <c r="E91" s="155"/>
      <c r="F91" s="155"/>
      <c r="G91" s="155"/>
      <c r="H91" s="155"/>
      <c r="I91" s="155"/>
      <c r="J91" s="155"/>
      <c r="K91" s="155"/>
      <c r="L91" s="155"/>
      <c r="M91" s="155"/>
      <c r="N91" s="155"/>
    </row>
    <row r="92" spans="1:14" x14ac:dyDescent="0.25">
      <c r="A92" s="155"/>
      <c r="B92" s="155"/>
      <c r="C92" s="155"/>
      <c r="D92" s="155"/>
      <c r="E92" s="155"/>
      <c r="F92" s="155"/>
      <c r="G92" s="155"/>
      <c r="H92" s="155"/>
      <c r="I92" s="155"/>
      <c r="J92" s="155"/>
      <c r="K92" s="155"/>
      <c r="L92" s="155"/>
      <c r="M92" s="155"/>
      <c r="N92" s="155"/>
    </row>
    <row r="93" spans="1:14" x14ac:dyDescent="0.25">
      <c r="A93" s="155"/>
      <c r="B93" s="155"/>
      <c r="C93" s="155"/>
      <c r="D93" s="155"/>
      <c r="E93" s="155"/>
      <c r="F93" s="155"/>
      <c r="G93" s="155"/>
      <c r="H93" s="155"/>
      <c r="I93" s="155"/>
      <c r="J93" s="155"/>
      <c r="K93" s="155"/>
      <c r="L93" s="155"/>
      <c r="M93" s="155"/>
      <c r="N93" s="155"/>
    </row>
    <row r="94" spans="1:14" x14ac:dyDescent="0.25">
      <c r="A94" s="155"/>
      <c r="B94" s="155"/>
      <c r="C94" s="155"/>
      <c r="D94" s="155"/>
      <c r="E94" s="155"/>
      <c r="F94" s="155"/>
      <c r="G94" s="155"/>
      <c r="H94" s="155"/>
      <c r="I94" s="155"/>
      <c r="J94" s="155"/>
      <c r="K94" s="155"/>
      <c r="L94" s="155"/>
      <c r="M94" s="155"/>
      <c r="N94" s="155"/>
    </row>
    <row r="95" spans="1:14" x14ac:dyDescent="0.25">
      <c r="A95" s="155"/>
      <c r="B95" s="155"/>
      <c r="C95" s="155"/>
      <c r="D95" s="155"/>
      <c r="E95" s="155"/>
      <c r="F95" s="155"/>
      <c r="G95" s="155"/>
      <c r="H95" s="155"/>
      <c r="I95" s="155"/>
      <c r="J95" s="155"/>
      <c r="K95" s="155"/>
      <c r="L95" s="155"/>
      <c r="M95" s="155"/>
      <c r="N95" s="155"/>
    </row>
    <row r="96" spans="1:14" x14ac:dyDescent="0.25">
      <c r="A96" s="155"/>
      <c r="B96" s="155"/>
      <c r="C96" s="155"/>
      <c r="D96" s="155"/>
      <c r="E96" s="155"/>
      <c r="F96" s="155"/>
      <c r="G96" s="155"/>
      <c r="H96" s="155"/>
      <c r="I96" s="155"/>
      <c r="J96" s="155"/>
      <c r="K96" s="155"/>
      <c r="L96" s="155"/>
      <c r="M96" s="155"/>
      <c r="N96" s="155"/>
    </row>
    <row r="97" spans="1:14" x14ac:dyDescent="0.25">
      <c r="A97" s="155"/>
      <c r="B97" s="155"/>
      <c r="C97" s="155"/>
      <c r="D97" s="155"/>
      <c r="E97" s="155"/>
      <c r="F97" s="155"/>
      <c r="G97" s="155"/>
      <c r="H97" s="155"/>
      <c r="I97" s="155"/>
      <c r="J97" s="155"/>
      <c r="K97" s="155"/>
      <c r="L97" s="155"/>
      <c r="M97" s="155"/>
      <c r="N97" s="155"/>
    </row>
    <row r="98" spans="1:14" x14ac:dyDescent="0.25">
      <c r="A98" s="155"/>
      <c r="B98" s="155"/>
      <c r="C98" s="155"/>
      <c r="D98" s="155"/>
      <c r="E98" s="155"/>
      <c r="F98" s="155"/>
      <c r="G98" s="155"/>
      <c r="H98" s="155"/>
      <c r="I98" s="155"/>
      <c r="J98" s="155"/>
      <c r="K98" s="155"/>
      <c r="L98" s="155"/>
      <c r="M98" s="155"/>
      <c r="N98" s="155"/>
    </row>
    <row r="99" spans="1:14" x14ac:dyDescent="0.25">
      <c r="A99" s="155"/>
      <c r="B99" s="155"/>
      <c r="C99" s="155"/>
      <c r="D99" s="155"/>
      <c r="E99" s="155"/>
      <c r="F99" s="155"/>
      <c r="G99" s="155"/>
      <c r="H99" s="155"/>
      <c r="I99" s="155"/>
      <c r="J99" s="155"/>
      <c r="K99" s="155"/>
      <c r="L99" s="155"/>
      <c r="M99" s="155"/>
      <c r="N99" s="155"/>
    </row>
    <row r="100" spans="1:14" x14ac:dyDescent="0.25">
      <c r="A100" s="155"/>
      <c r="B100" s="155"/>
      <c r="C100" s="155"/>
      <c r="D100" s="155"/>
      <c r="E100" s="155"/>
      <c r="F100" s="155"/>
      <c r="G100" s="155"/>
      <c r="H100" s="155"/>
      <c r="I100" s="155"/>
      <c r="J100" s="155"/>
      <c r="K100" s="155"/>
      <c r="L100" s="155"/>
      <c r="M100" s="155"/>
      <c r="N100" s="155"/>
    </row>
    <row r="101" spans="1:14" x14ac:dyDescent="0.25">
      <c r="A101" s="155"/>
      <c r="B101" s="155"/>
      <c r="C101" s="155"/>
      <c r="D101" s="155"/>
      <c r="E101" s="155"/>
      <c r="F101" s="155"/>
      <c r="G101" s="155"/>
      <c r="H101" s="155"/>
      <c r="I101" s="155"/>
      <c r="J101" s="155"/>
      <c r="K101" s="155"/>
      <c r="L101" s="155"/>
      <c r="M101" s="155"/>
      <c r="N101" s="155"/>
    </row>
    <row r="102" spans="1:14" x14ac:dyDescent="0.25">
      <c r="A102" s="155"/>
      <c r="B102" s="155"/>
      <c r="C102" s="155"/>
      <c r="D102" s="155"/>
      <c r="E102" s="155"/>
      <c r="F102" s="155"/>
      <c r="G102" s="155"/>
      <c r="H102" s="155"/>
      <c r="I102" s="155"/>
      <c r="J102" s="155"/>
      <c r="K102" s="155"/>
      <c r="L102" s="155"/>
      <c r="M102" s="155"/>
      <c r="N102" s="155"/>
    </row>
    <row r="103" spans="1:14" x14ac:dyDescent="0.25">
      <c r="A103" s="155"/>
      <c r="B103" s="155"/>
      <c r="C103" s="155"/>
      <c r="D103" s="155"/>
      <c r="E103" s="155"/>
      <c r="F103" s="155"/>
      <c r="G103" s="155"/>
      <c r="H103" s="155"/>
      <c r="I103" s="155"/>
      <c r="J103" s="155"/>
      <c r="K103" s="155"/>
      <c r="L103" s="155"/>
      <c r="M103" s="155"/>
      <c r="N103" s="155"/>
    </row>
    <row r="104" spans="1:14" x14ac:dyDescent="0.25">
      <c r="A104" s="155"/>
      <c r="B104" s="155"/>
      <c r="C104" s="155"/>
      <c r="D104" s="155"/>
      <c r="E104" s="155"/>
      <c r="F104" s="155"/>
      <c r="G104" s="155"/>
      <c r="H104" s="155"/>
      <c r="I104" s="155"/>
      <c r="J104" s="155"/>
      <c r="K104" s="155"/>
      <c r="L104" s="155"/>
      <c r="M104" s="155"/>
      <c r="N104" s="155"/>
    </row>
    <row r="105" spans="1:14" x14ac:dyDescent="0.25">
      <c r="A105" s="155"/>
      <c r="B105" s="155"/>
      <c r="C105" s="155"/>
      <c r="D105" s="155"/>
      <c r="E105" s="155"/>
      <c r="F105" s="155"/>
      <c r="G105" s="155"/>
      <c r="H105" s="155"/>
      <c r="I105" s="155"/>
      <c r="J105" s="155"/>
      <c r="K105" s="155"/>
      <c r="L105" s="155"/>
      <c r="M105" s="155"/>
      <c r="N105" s="155"/>
    </row>
    <row r="106" spans="1:14" x14ac:dyDescent="0.25">
      <c r="A106" s="155"/>
      <c r="B106" s="155"/>
      <c r="C106" s="155"/>
      <c r="D106" s="155"/>
      <c r="E106" s="155"/>
      <c r="F106" s="155"/>
      <c r="G106" s="155"/>
      <c r="H106" s="155"/>
      <c r="I106" s="155"/>
      <c r="J106" s="155"/>
      <c r="K106" s="155"/>
      <c r="L106" s="155"/>
      <c r="M106" s="155"/>
      <c r="N106" s="155"/>
    </row>
    <row r="107" spans="1:14" x14ac:dyDescent="0.25">
      <c r="A107" s="155"/>
      <c r="B107" s="155"/>
      <c r="C107" s="155"/>
      <c r="D107" s="155"/>
      <c r="E107" s="155"/>
      <c r="F107" s="155"/>
      <c r="G107" s="155"/>
      <c r="H107" s="155"/>
      <c r="I107" s="155"/>
      <c r="J107" s="155"/>
      <c r="K107" s="155"/>
      <c r="L107" s="155"/>
      <c r="M107" s="155"/>
      <c r="N107" s="155"/>
    </row>
    <row r="108" spans="1:14" x14ac:dyDescent="0.25">
      <c r="A108" s="155"/>
      <c r="B108" s="155"/>
      <c r="C108" s="155"/>
      <c r="D108" s="155"/>
      <c r="E108" s="155"/>
      <c r="F108" s="155"/>
      <c r="G108" s="155"/>
      <c r="H108" s="155"/>
      <c r="I108" s="155"/>
      <c r="J108" s="155"/>
      <c r="K108" s="155"/>
      <c r="L108" s="155"/>
      <c r="M108" s="155"/>
      <c r="N108" s="155"/>
    </row>
    <row r="109" spans="1:14" x14ac:dyDescent="0.25">
      <c r="A109" s="155"/>
      <c r="B109" s="155"/>
      <c r="C109" s="155"/>
      <c r="D109" s="155"/>
      <c r="E109" s="155"/>
      <c r="F109" s="155"/>
      <c r="G109" s="155"/>
      <c r="H109" s="155"/>
      <c r="I109" s="155"/>
      <c r="J109" s="155"/>
      <c r="K109" s="155"/>
      <c r="L109" s="155"/>
      <c r="M109" s="155"/>
      <c r="N109" s="155"/>
    </row>
    <row r="110" spans="1:14" x14ac:dyDescent="0.25">
      <c r="A110" s="155"/>
      <c r="B110" s="155"/>
      <c r="C110" s="155"/>
      <c r="D110" s="155"/>
      <c r="E110" s="155"/>
      <c r="F110" s="155"/>
      <c r="G110" s="155"/>
      <c r="H110" s="155"/>
      <c r="I110" s="155"/>
      <c r="J110" s="155"/>
      <c r="K110" s="155"/>
      <c r="L110" s="155"/>
      <c r="M110" s="155"/>
      <c r="N110" s="155"/>
    </row>
    <row r="111" spans="1:14" x14ac:dyDescent="0.25">
      <c r="A111" s="155"/>
      <c r="B111" s="155"/>
      <c r="C111" s="155"/>
      <c r="D111" s="155"/>
      <c r="E111" s="155"/>
      <c r="F111" s="155"/>
      <c r="G111" s="155"/>
      <c r="H111" s="155"/>
      <c r="I111" s="155"/>
      <c r="J111" s="155"/>
      <c r="K111" s="155"/>
      <c r="L111" s="155"/>
      <c r="M111" s="155"/>
      <c r="N111" s="155"/>
    </row>
  </sheetData>
  <sheetProtection sheet="1" objects="1" scenarios="1"/>
  <pageMargins left="0.7" right="0.7" top="0.75" bottom="0.75" header="0.3" footer="0.3"/>
  <pageSetup paperSize="9" scale="59" fitToHeight="0" orientation="portrait" r:id="rId1"/>
  <rowBreaks count="1" manualBreakCount="1">
    <brk id="54"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ul7">
    <pageSetUpPr fitToPage="1"/>
  </sheetPr>
  <dimension ref="A1:Q63"/>
  <sheetViews>
    <sheetView zoomScaleNormal="100" workbookViewId="0">
      <selection activeCell="G1" sqref="G1"/>
    </sheetView>
  </sheetViews>
  <sheetFormatPr defaultRowHeight="15" x14ac:dyDescent="0.25"/>
  <cols>
    <col min="1" max="1" width="37.42578125" customWidth="1"/>
    <col min="2" max="2" width="38.140625" customWidth="1"/>
    <col min="3" max="3" width="9.140625" customWidth="1"/>
    <col min="4" max="4" width="9.28515625" customWidth="1"/>
    <col min="5" max="5" width="6.5703125" customWidth="1"/>
    <col min="6" max="6" width="34.7109375" customWidth="1"/>
    <col min="7" max="7" width="30.140625" customWidth="1"/>
    <col min="8" max="8" width="45.28515625" customWidth="1"/>
    <col min="9" max="9" width="45.7109375" customWidth="1"/>
    <col min="10" max="10" width="44.7109375" customWidth="1"/>
    <col min="11" max="11" width="45.140625" customWidth="1"/>
    <col min="12" max="12" width="19.7109375" hidden="1" customWidth="1"/>
    <col min="13" max="13" width="19.85546875" style="30" hidden="1" customWidth="1"/>
    <col min="14" max="14" width="13.5703125" style="24" hidden="1" customWidth="1"/>
    <col min="15" max="15" width="12.140625" style="24" hidden="1" customWidth="1"/>
    <col min="16" max="16" width="15.140625" hidden="1" customWidth="1"/>
    <col min="17" max="17" width="14.85546875" style="24" hidden="1" customWidth="1"/>
    <col min="18" max="18" width="8.7109375" customWidth="1"/>
  </cols>
  <sheetData>
    <row r="1" spans="1:17" s="39" customFormat="1" ht="78.75" customHeight="1" thickBot="1" x14ac:dyDescent="0.45">
      <c r="D1" s="306" t="s">
        <v>306</v>
      </c>
      <c r="M1" s="30"/>
      <c r="N1" s="24"/>
      <c r="O1" s="24"/>
      <c r="Q1" s="24"/>
    </row>
    <row r="2" spans="1:17" s="39" customFormat="1" ht="15.75" thickBot="1" x14ac:dyDescent="0.3">
      <c r="A2" s="279" t="s">
        <v>150</v>
      </c>
      <c r="B2" s="61" t="str">
        <f>'2. Inputs and results'!B5</f>
        <v>Building</v>
      </c>
      <c r="M2" s="30"/>
      <c r="N2" s="24"/>
      <c r="O2" s="24"/>
      <c r="Q2" s="24"/>
    </row>
    <row r="3" spans="1:17" s="39" customFormat="1" ht="15.75" thickBot="1" x14ac:dyDescent="0.3">
      <c r="A3" s="282"/>
      <c r="B3" s="284"/>
      <c r="M3" s="30"/>
      <c r="N3" s="24"/>
      <c r="O3" s="24"/>
      <c r="Q3" s="24"/>
    </row>
    <row r="4" spans="1:17" s="39" customFormat="1" ht="15.75" thickBot="1" x14ac:dyDescent="0.3">
      <c r="A4" s="280" t="s">
        <v>139</v>
      </c>
      <c r="B4" s="62" t="str">
        <f>'2. Inputs and results'!B6</f>
        <v>Housing/ Residential building</v>
      </c>
      <c r="M4" s="30"/>
      <c r="N4" s="24"/>
      <c r="O4" s="24"/>
      <c r="Q4" s="24"/>
    </row>
    <row r="5" spans="1:17" s="39" customFormat="1" ht="15.75" thickBot="1" x14ac:dyDescent="0.3">
      <c r="A5" s="282"/>
      <c r="B5" s="284"/>
      <c r="M5" s="30"/>
      <c r="N5" s="24"/>
      <c r="O5" s="24"/>
      <c r="Q5" s="24"/>
    </row>
    <row r="6" spans="1:17" s="39" customFormat="1" ht="15.75" thickBot="1" x14ac:dyDescent="0.3">
      <c r="A6" s="282" t="s">
        <v>54</v>
      </c>
      <c r="B6" s="283" t="str">
        <f>'2. Inputs and results'!B8</f>
        <v>District heating</v>
      </c>
      <c r="M6" s="30"/>
      <c r="N6" s="24"/>
      <c r="O6" s="24"/>
      <c r="Q6" s="24"/>
    </row>
    <row r="7" spans="1:17" s="39" customFormat="1" ht="15.75" thickBot="1" x14ac:dyDescent="0.3">
      <c r="A7" s="282" t="s">
        <v>93</v>
      </c>
      <c r="B7" s="283" t="str">
        <f>'2. Inputs and results'!B9</f>
        <v>Other</v>
      </c>
      <c r="M7" s="30"/>
      <c r="N7" s="24"/>
      <c r="O7" s="24"/>
      <c r="Q7" s="24"/>
    </row>
    <row r="8" spans="1:17" s="39" customFormat="1" ht="15.75" thickBot="1" x14ac:dyDescent="0.3">
      <c r="A8" s="282" t="s">
        <v>104</v>
      </c>
      <c r="B8" s="283" t="str">
        <f>'2. Inputs and results'!B10</f>
        <v>None</v>
      </c>
      <c r="M8" s="30"/>
      <c r="N8" s="24"/>
      <c r="O8" s="24"/>
      <c r="Q8" s="24"/>
    </row>
    <row r="9" spans="1:17" ht="41.25" customHeight="1" x14ac:dyDescent="0.25">
      <c r="C9" s="285"/>
      <c r="D9" s="285"/>
      <c r="E9" s="285"/>
      <c r="F9" s="286" t="s">
        <v>138</v>
      </c>
      <c r="G9" s="286" t="s">
        <v>111</v>
      </c>
      <c r="H9" s="286" t="s">
        <v>220</v>
      </c>
      <c r="I9" s="286" t="s">
        <v>219</v>
      </c>
      <c r="J9" s="286" t="s">
        <v>218</v>
      </c>
      <c r="K9" s="286" t="s">
        <v>217</v>
      </c>
    </row>
    <row r="10" spans="1:17" x14ac:dyDescent="0.25">
      <c r="C10" s="286" t="s">
        <v>116</v>
      </c>
      <c r="D10" s="286" t="s">
        <v>117</v>
      </c>
      <c r="E10" s="286" t="str">
        <f>'7. Change of CO2 emissions'!E12</f>
        <v>Year</v>
      </c>
      <c r="F10" s="286" t="str">
        <f>'2. Inputs and results'!B19</f>
        <v xml:space="preserve">Ventilation system with heat recovery </v>
      </c>
      <c r="G10" s="286" t="str">
        <f>'2. Inputs and results'!C19</f>
        <v>Geothermal heat pump system</v>
      </c>
      <c r="H10" s="286" t="str">
        <f>'2. Inputs and results'!B19</f>
        <v xml:space="preserve">Ventilation system with heat recovery </v>
      </c>
      <c r="I10" s="286" t="str">
        <f>'2. Inputs and results'!C19</f>
        <v>Geothermal heat pump system</v>
      </c>
      <c r="J10" s="286" t="str">
        <f>'2. Inputs and results'!B19</f>
        <v xml:space="preserve">Ventilation system with heat recovery </v>
      </c>
      <c r="K10" s="286" t="str">
        <f>'2. Inputs and results'!C19</f>
        <v>Geothermal heat pump system</v>
      </c>
      <c r="L10" t="s">
        <v>78</v>
      </c>
      <c r="M10" s="30" t="s">
        <v>80</v>
      </c>
      <c r="N10" s="41" t="s">
        <v>89</v>
      </c>
      <c r="O10" s="24" t="s">
        <v>87</v>
      </c>
      <c r="P10" s="37" t="s">
        <v>89</v>
      </c>
      <c r="Q10" s="24" t="s">
        <v>87</v>
      </c>
    </row>
    <row r="11" spans="1:17" x14ac:dyDescent="0.25">
      <c r="C11" s="285"/>
      <c r="D11" s="285"/>
      <c r="E11" s="285"/>
      <c r="F11" s="285"/>
      <c r="G11" s="285"/>
      <c r="H11" s="286"/>
      <c r="I11" s="286"/>
      <c r="J11" s="286"/>
      <c r="K11" s="286"/>
      <c r="N11" s="24" t="s">
        <v>88</v>
      </c>
      <c r="O11" s="24" t="s">
        <v>83</v>
      </c>
      <c r="P11" s="27" t="s">
        <v>88</v>
      </c>
      <c r="Q11" s="24" t="s">
        <v>141</v>
      </c>
    </row>
    <row r="12" spans="1:17" x14ac:dyDescent="0.25">
      <c r="C12" s="285">
        <f>'Solution 1, (hidden)'!B5</f>
        <v>0</v>
      </c>
      <c r="D12" s="285">
        <f>'Solution  2, (hidden)'!B5</f>
        <v>0</v>
      </c>
      <c r="E12" s="285">
        <f>IF('2. Inputs and results'!$C$21&gt;='2. Inputs and results'!$B$21,'Solution  2, (hidden)'!B5,'Solution 1, (hidden)'!B5)</f>
        <v>0</v>
      </c>
      <c r="F12" s="287">
        <f>'Solution 1, (hidden)'!W5</f>
        <v>-156400</v>
      </c>
      <c r="G12" s="287">
        <f>'Solution  2, (hidden)'!W5</f>
        <v>-212500</v>
      </c>
      <c r="H12" s="287">
        <f>'Solution 1, (hidden)'!R5</f>
        <v>-156400</v>
      </c>
      <c r="I12" s="287">
        <f>'Solution  2, (hidden)'!R5</f>
        <v>-212500</v>
      </c>
      <c r="J12" s="287">
        <f>'Solution 1, (hidden) (2)'!R5</f>
        <v>-156400</v>
      </c>
      <c r="K12" s="287">
        <f>'Solution  2, (hidden) (2)'!R5</f>
        <v>-212500</v>
      </c>
      <c r="L12" s="30">
        <f>'Solution 1, (hidden)'!Z5</f>
        <v>-156400</v>
      </c>
      <c r="M12" s="30">
        <f>'Solution  2, (hidden)'!U5</f>
        <v>-212500</v>
      </c>
      <c r="N12" s="24">
        <f>'Solution 1, (hidden)'!U5</f>
        <v>-156400</v>
      </c>
      <c r="O12" s="24">
        <f>'Solution  2, (hidden)'!U5</f>
        <v>-212500</v>
      </c>
      <c r="P12" s="5">
        <f>'Solution 1, (hidden) (2)'!U5</f>
        <v>-156400</v>
      </c>
      <c r="Q12" s="24">
        <f>'Solution  2, (hidden) (2)'!U5</f>
        <v>-212500</v>
      </c>
    </row>
    <row r="13" spans="1:17" x14ac:dyDescent="0.25">
      <c r="C13" s="285">
        <f>'Solution 1, (hidden)'!B6</f>
        <v>1</v>
      </c>
      <c r="D13" s="285">
        <f>'Solution  2, (hidden)'!B6</f>
        <v>1</v>
      </c>
      <c r="E13" s="285">
        <f>IF('2. Inputs and results'!$C$21&gt;='2. Inputs and results'!$B$21,'Solution  2, (hidden)'!B6,'Solution 1, (hidden)'!B6)</f>
        <v>1</v>
      </c>
      <c r="F13" s="287">
        <f>'Solution 1, (hidden)'!W6</f>
        <v>-149908</v>
      </c>
      <c r="G13" s="287">
        <f>'Solution  2, (hidden)'!W6</f>
        <v>-194650</v>
      </c>
      <c r="H13" s="287">
        <f>'Solution 1, (hidden)'!R6</f>
        <v>-149908</v>
      </c>
      <c r="I13" s="287">
        <f>'Solution  2, (hidden)'!R6</f>
        <v>-194650</v>
      </c>
      <c r="J13" s="287">
        <f>'Solution 1, (hidden) (2)'!R6</f>
        <v>-149908</v>
      </c>
      <c r="K13" s="287">
        <f>'Solution  2, (hidden) (2)'!R6</f>
        <v>-194650</v>
      </c>
      <c r="L13" s="30">
        <f>IF('4. Cash flow '!E13&lt;('2. Inputs and results'!$B$21+1),'Solution 1, (hidden)'!C6-'Solution 1, (hidden)'!M6," ")</f>
        <v>9620</v>
      </c>
      <c r="M13" s="30">
        <f>IF(E13&lt;('2. Inputs and results'!$C$21+1),'Solution  2, (hidden)'!C6-'Solution  2, (hidden)'!M6," ")</f>
        <v>22100</v>
      </c>
      <c r="N13" s="24">
        <f>IF('4. Cash flow '!E13&lt;('2. Inputs and results'!$B$21+1),'Solution 1, (hidden)'!G6+'Solution 1, (hidden)'!I6+'Solution 1, (hidden)'!H6+'Solution 1, (hidden)'!J6-'Solution 1, (hidden)'!M6," ")</f>
        <v>9620</v>
      </c>
      <c r="O13" s="24">
        <f>IF(E13&lt;('2. Inputs and results'!$C$21+1),'Solution  2, (hidden)'!G6+'Solution  2, (hidden)'!I6+'Solution  2, (hidden)'!H6+'Solution  2, (hidden)'!J6-'Solution  2, (hidden)'!M6," ")</f>
        <v>22100</v>
      </c>
      <c r="P13" s="24">
        <f>IF('4. Cash flow '!E13&lt;('2. Inputs and results'!$B$21+1),'Solution 1, (hidden) (2)'!G6+'Solution 1, (hidden) (2)'!I6+'Solution 1, (hidden) (2)'!H6+'Solution 1, (hidden) (2)'!J6-'Solution 1, (hidden) (2)'!M6," ")</f>
        <v>9620</v>
      </c>
      <c r="Q13" s="24">
        <f>IF(E13&lt;('2. Inputs and results'!$C$21+1),'Solution  2, (hidden) (2)'!G6+'Solution  2, (hidden) (2)'!I6+'Solution  2, (hidden) (2)'!H6+'Solution  2, (hidden) (2)'!J6-'Solution  2, (hidden) (2)'!M6," ")</f>
        <v>22100</v>
      </c>
    </row>
    <row r="14" spans="1:17" x14ac:dyDescent="0.25">
      <c r="C14" s="285">
        <f>'Solution 1, (hidden)'!B7</f>
        <v>2</v>
      </c>
      <c r="D14" s="285">
        <f>'Solution  2, (hidden)'!B7</f>
        <v>2</v>
      </c>
      <c r="E14" s="285">
        <f>IF('2. Inputs and results'!$C$21&gt;='2. Inputs and results'!$B$21,'Solution  2, (hidden)'!B7,'Solution 1, (hidden)'!B7)</f>
        <v>2</v>
      </c>
      <c r="F14" s="287">
        <f>'Solution 1, (hidden)'!W7</f>
        <v>-143286.16</v>
      </c>
      <c r="G14" s="287">
        <f>'Solution  2, (hidden)'!W7</f>
        <v>-176443</v>
      </c>
      <c r="H14" s="287">
        <f>'Solution 1, (hidden)'!R7</f>
        <v>-142942.36000000002</v>
      </c>
      <c r="I14" s="287">
        <f>'Solution  2, (hidden)'!R7</f>
        <v>-175705</v>
      </c>
      <c r="J14" s="287">
        <f>'Solution 1, (hidden) (2)'!R7</f>
        <v>-142598.56</v>
      </c>
      <c r="K14" s="287">
        <f>'Solution  2, (hidden) (2)'!R7</f>
        <v>-174967</v>
      </c>
      <c r="L14" s="30">
        <f>IF('4. Cash flow '!E14&lt;('2. Inputs and results'!$B$21+1),'Solution 1, (hidden)'!C7-'Solution 1, (hidden)'!M7," ")</f>
        <v>9620</v>
      </c>
      <c r="M14" s="30">
        <f>IF(E14&lt;('2. Inputs and results'!$C$21+1),'Solution  2, (hidden)'!C7-'Solution  2, (hidden)'!M7," ")</f>
        <v>22100</v>
      </c>
      <c r="N14" s="24">
        <f>IF('4. Cash flow '!E14&lt;('2. Inputs and results'!$B$21+1),'Solution 1, (hidden)'!G7+'Solution 1, (hidden)'!I7+'Solution 1, (hidden)'!H7+'Solution 1, (hidden)'!J7-'Solution 1, (hidden)'!M7," ")</f>
        <v>9963.7999999999993</v>
      </c>
      <c r="O14" s="24">
        <f>IF(E14&lt;('2. Inputs and results'!$C$21+1),'Solution  2, (hidden)'!G7+'Solution  2, (hidden)'!I7+'Solution  2, (hidden)'!H7+'Solution  2, (hidden)'!J7-'Solution  2, (hidden)'!M7," ")</f>
        <v>22838</v>
      </c>
      <c r="P14" s="24">
        <f>IF('4. Cash flow '!E14&lt;('2. Inputs and results'!$B$21+1),'Solution 1, (hidden) (2)'!G7+'Solution 1, (hidden) (2)'!I7+'Solution 1, (hidden) (2)'!H7+'Solution 1, (hidden) (2)'!J7-'Solution 1, (hidden) (2)'!M7," ")</f>
        <v>10307.6</v>
      </c>
      <c r="Q14" s="24">
        <f>IF(E14&lt;('2. Inputs and results'!$C$21+1),'Solution  2, (hidden) (2)'!G7+'Solution  2, (hidden) (2)'!I7+'Solution  2, (hidden) (2)'!H7+'Solution  2, (hidden) (2)'!J7-'Solution  2, (hidden) (2)'!M7," ")</f>
        <v>23576</v>
      </c>
    </row>
    <row r="15" spans="1:17" x14ac:dyDescent="0.25">
      <c r="C15" s="285">
        <f>'Solution 1, (hidden)'!B8</f>
        <v>3</v>
      </c>
      <c r="D15" s="285">
        <f>'Solution  2, (hidden)'!B8</f>
        <v>3</v>
      </c>
      <c r="E15" s="285">
        <f>IF('2. Inputs and results'!$C$21&gt;='2. Inputs and results'!$B$21,'Solution  2, (hidden)'!B8,'Solution 1, (hidden)'!B8)</f>
        <v>3</v>
      </c>
      <c r="F15" s="287">
        <f>'Solution 1, (hidden)'!W8</f>
        <v>-136531.88320000001</v>
      </c>
      <c r="G15" s="287">
        <f>'Solution  2, (hidden)'!W8</f>
        <v>-157871.85999999999</v>
      </c>
      <c r="H15" s="287">
        <f>'Solution 1, (hidden)'!R8</f>
        <v>-135483.29320000001</v>
      </c>
      <c r="I15" s="287">
        <f>'Solution  2, (hidden)'!R8</f>
        <v>-155620.96</v>
      </c>
      <c r="J15" s="287">
        <f>'Solution 1, (hidden) (2)'!R8</f>
        <v>-134414.07520000002</v>
      </c>
      <c r="K15" s="287">
        <f>'Solution  2, (hidden) (2)'!R8</f>
        <v>-153325.78</v>
      </c>
      <c r="L15" s="30">
        <f>IF('4. Cash flow '!E15&lt;('2. Inputs and results'!$B$21+1),'Solution 1, (hidden)'!C8-'Solution 1, (hidden)'!M8," ")</f>
        <v>9620</v>
      </c>
      <c r="M15" s="30">
        <f>IF(E15&lt;('2. Inputs and results'!$C$21+1),'Solution  2, (hidden)'!C8-'Solution  2, (hidden)'!M8," ")</f>
        <v>22100</v>
      </c>
      <c r="N15" s="24">
        <f>IF('4. Cash flow '!E15&lt;('2. Inputs and results'!$B$21+1),'Solution 1, (hidden)'!G8+'Solution 1, (hidden)'!I8+'Solution 1, (hidden)'!H8+'Solution 1, (hidden)'!J8-'Solution 1, (hidden)'!M8," ")</f>
        <v>10317.914000000001</v>
      </c>
      <c r="O15" s="24">
        <f>IF(E15&lt;('2. Inputs and results'!$C$21+1),'Solution  2, (hidden)'!G8+'Solution  2, (hidden)'!I8+'Solution  2, (hidden)'!H8+'Solution  2, (hidden)'!J8-'Solution  2, (hidden)'!M8," ")</f>
        <v>23598.14</v>
      </c>
      <c r="P15" s="24">
        <f>IF('4. Cash flow '!E15&lt;('2. Inputs and results'!$B$21+1),'Solution 1, (hidden) (2)'!G8+'Solution 1, (hidden) (2)'!I8+'Solution 1, (hidden) (2)'!H8+'Solution 1, (hidden) (2)'!J8-'Solution 1, (hidden) (2)'!M8," ")</f>
        <v>11036.456</v>
      </c>
      <c r="Q15" s="24">
        <f>IF(E15&lt;('2. Inputs and results'!$C$21+1),'Solution  2, (hidden) (2)'!G8+'Solution  2, (hidden) (2)'!I8+'Solution  2, (hidden) (2)'!H8+'Solution  2, (hidden) (2)'!J8-'Solution  2, (hidden) (2)'!M8," ")</f>
        <v>25140.559999999998</v>
      </c>
    </row>
    <row r="16" spans="1:17" x14ac:dyDescent="0.25">
      <c r="C16" s="285">
        <f>'Solution 1, (hidden)'!B9</f>
        <v>4</v>
      </c>
      <c r="D16" s="285">
        <f>'Solution  2, (hidden)'!B9</f>
        <v>4</v>
      </c>
      <c r="E16" s="285">
        <f>IF('2. Inputs and results'!$C$21&gt;='2. Inputs and results'!$B$21,'Solution  2, (hidden)'!B9,'Solution 1, (hidden)'!B9)</f>
        <v>4</v>
      </c>
      <c r="F16" s="287">
        <f>'Solution 1, (hidden)'!W9</f>
        <v>-129642.52086400001</v>
      </c>
      <c r="G16" s="287">
        <f>'Solution  2, (hidden)'!W9</f>
        <v>-138929.29719999997</v>
      </c>
      <c r="H16" s="287">
        <f>'Solution 1, (hidden)'!R9</f>
        <v>-127510.30764400001</v>
      </c>
      <c r="I16" s="287">
        <f>'Solution  2, (hidden)'!R9</f>
        <v>-134352.29499999998</v>
      </c>
      <c r="J16" s="287">
        <f>'Solution 1, (hidden) (2)'!R9</f>
        <v>-125293.31334400002</v>
      </c>
      <c r="K16" s="287">
        <f>'Solution  2, (hidden) (2)'!R9</f>
        <v>-129593.302</v>
      </c>
      <c r="L16" s="30">
        <f>IF('4. Cash flow '!E16&lt;('2. Inputs and results'!$B$21+1),'Solution 1, (hidden)'!C9-'Solution 1, (hidden)'!M9," ")</f>
        <v>9620</v>
      </c>
      <c r="M16" s="30">
        <f>IF(E16&lt;('2. Inputs and results'!$C$21+1),'Solution  2, (hidden)'!C9-'Solution  2, (hidden)'!M9," ")</f>
        <v>22100</v>
      </c>
      <c r="N16" s="24">
        <f>IF('4. Cash flow '!E16&lt;('2. Inputs and results'!$B$21+1),'Solution 1, (hidden)'!G9+'Solution 1, (hidden)'!I9+'Solution 1, (hidden)'!H9+'Solution 1, (hidden)'!J9-'Solution 1, (hidden)'!M9," ")</f>
        <v>10682.651420000002</v>
      </c>
      <c r="O16" s="24">
        <f>IF(E16&lt;('2. Inputs and results'!$C$21+1),'Solution  2, (hidden)'!G9+'Solution  2, (hidden)'!I9+'Solution  2, (hidden)'!H9+'Solution  2, (hidden)'!J9-'Solution  2, (hidden)'!M9," ")</f>
        <v>24381.084200000001</v>
      </c>
      <c r="P16" s="24">
        <f>IF('4. Cash flow '!E16&lt;('2. Inputs and results'!$B$21+1),'Solution 1, (hidden) (2)'!G9+'Solution 1, (hidden) (2)'!I9+'Solution 1, (hidden) (2)'!H9+'Solution 1, (hidden) (2)'!J9-'Solution 1, (hidden) (2)'!M9," ")</f>
        <v>11809.043360000001</v>
      </c>
      <c r="Q16" s="24">
        <f>IF(E16&lt;('2. Inputs and results'!$C$21+1),'Solution  2, (hidden) (2)'!G9+'Solution  2, (hidden) (2)'!I9+'Solution  2, (hidden) (2)'!H9+'Solution  2, (hidden) (2)'!J9-'Solution  2, (hidden) (2)'!M9," ")</f>
        <v>26798.993599999998</v>
      </c>
    </row>
    <row r="17" spans="3:17" x14ac:dyDescent="0.25">
      <c r="C17" s="285">
        <f>'Solution 1, (hidden)'!B10</f>
        <v>5</v>
      </c>
      <c r="D17" s="285">
        <f>'Solution  2, (hidden)'!B10</f>
        <v>5</v>
      </c>
      <c r="E17" s="285">
        <f>IF('2. Inputs and results'!$C$21&gt;='2. Inputs and results'!$B$21,'Solution  2, (hidden)'!B10,'Solution 1, (hidden)'!B10)</f>
        <v>5</v>
      </c>
      <c r="F17" s="287">
        <f>'Solution 1, (hidden)'!W10</f>
        <v>-122615.37128128001</v>
      </c>
      <c r="G17" s="287">
        <f>'Solution  2, (hidden)'!W10</f>
        <v>-119607.88314399998</v>
      </c>
      <c r="H17" s="287">
        <f>'Solution 1, (hidden)'!R10</f>
        <v>-119002.18283428001</v>
      </c>
      <c r="I17" s="287">
        <f>'Solution  2, (hidden)'!R10</f>
        <v>-111851.82417399998</v>
      </c>
      <c r="J17" s="287">
        <f>'Solution 1, (hidden) (2)'!R10</f>
        <v>-115171.19364928002</v>
      </c>
      <c r="K17" s="287">
        <f>'Solution  2, (hidden) (2)'!R10</f>
        <v>-103628.234824</v>
      </c>
      <c r="L17" s="30">
        <f>IF('4. Cash flow '!E17&lt;('2. Inputs and results'!$B$21+1),'Solution 1, (hidden)'!C10-'Solution 1, (hidden)'!M10," ")</f>
        <v>9620</v>
      </c>
      <c r="M17" s="30">
        <f>IF(E17&lt;('2. Inputs and results'!$C$21+1),'Solution  2, (hidden)'!C10-'Solution  2, (hidden)'!M10," ")</f>
        <v>22100</v>
      </c>
      <c r="N17" s="24">
        <f>IF('4. Cash flow '!E17&lt;('2. Inputs and results'!$B$21+1),'Solution 1, (hidden)'!G10+'Solution 1, (hidden)'!I10+'Solution 1, (hidden)'!H10+'Solution 1, (hidden)'!J10-'Solution 1, (hidden)'!M10," ")</f>
        <v>11058.330962600003</v>
      </c>
      <c r="O17" s="24">
        <f>IF(E17&lt;('2. Inputs and results'!$C$21+1),'Solution  2, (hidden)'!G10+'Solution  2, (hidden)'!I10+'Solution  2, (hidden)'!H10+'Solution  2, (hidden)'!J10-'Solution  2, (hidden)'!M10," ")</f>
        <v>25187.516726000005</v>
      </c>
      <c r="P17" s="24">
        <f>IF('4. Cash flow '!E17&lt;('2. Inputs and results'!$B$21+1),'Solution 1, (hidden) (2)'!G10+'Solution 1, (hidden) (2)'!I10+'Solution 1, (hidden) (2)'!H10+'Solution 1, (hidden) (2)'!J10-'Solution 1, (hidden) (2)'!M10," ")</f>
        <v>12627.985961600001</v>
      </c>
      <c r="Q17" s="24">
        <f>IF(E17&lt;('2. Inputs and results'!$C$21+1),'Solution  2, (hidden) (2)'!G10+'Solution  2, (hidden) (2)'!I10+'Solution  2, (hidden) (2)'!H10+'Solution  2, (hidden) (2)'!J10-'Solution  2, (hidden) (2)'!M10," ")</f>
        <v>28556.933216000001</v>
      </c>
    </row>
    <row r="18" spans="3:17" x14ac:dyDescent="0.25">
      <c r="C18" s="285">
        <f>'Solution 1, (hidden)'!B11</f>
        <v>6</v>
      </c>
      <c r="D18" s="285">
        <f>'Solution  2, (hidden)'!B11</f>
        <v>6</v>
      </c>
      <c r="E18" s="285">
        <f>IF('2. Inputs and results'!$C$21&gt;='2. Inputs and results'!$B$21,'Solution  2, (hidden)'!B11,'Solution 1, (hidden)'!B11)</f>
        <v>6</v>
      </c>
      <c r="F18" s="287">
        <f>'Solution 1, (hidden)'!W11</f>
        <v>-115447.6787069056</v>
      </c>
      <c r="G18" s="287">
        <f>'Solution  2, (hidden)'!W11</f>
        <v>-99900.040806879973</v>
      </c>
      <c r="H18" s="287">
        <f>'Solution 1, (hidden)'!R11</f>
        <v>-109936.9455994876</v>
      </c>
      <c r="I18" s="287">
        <f>'Solution  2, (hidden)'!R11</f>
        <v>-88070.718429699962</v>
      </c>
      <c r="J18" s="287">
        <f>'Solution 1, (hidden) (2)'!R11</f>
        <v>-103978.55240296962</v>
      </c>
      <c r="K18" s="287">
        <f>'Solution  2, (hidden) (2)'!R11</f>
        <v>-75280.450311519991</v>
      </c>
      <c r="L18" s="30">
        <f>IF('4. Cash flow '!E18&lt;('2. Inputs and results'!$B$21+1),'Solution 1, (hidden)'!C11-'Solution 1, (hidden)'!M11," ")</f>
        <v>9620</v>
      </c>
      <c r="M18" s="30">
        <f>IF(E18&lt;('2. Inputs and results'!$C$21+1),'Solution  2, (hidden)'!C11-'Solution  2, (hidden)'!M11," ")</f>
        <v>22100</v>
      </c>
      <c r="N18" s="24">
        <f>IF('4. Cash flow '!E18&lt;('2. Inputs and results'!$B$21+1),'Solution 1, (hidden)'!G11+'Solution 1, (hidden)'!I11+'Solution 1, (hidden)'!H11+'Solution 1, (hidden)'!J11-'Solution 1, (hidden)'!M11," ")</f>
        <v>11445.280891478002</v>
      </c>
      <c r="O18" s="24">
        <f>IF(E18&lt;('2. Inputs and results'!$C$21+1),'Solution  2, (hidden)'!G11+'Solution  2, (hidden)'!I11+'Solution  2, (hidden)'!H11+'Solution  2, (hidden)'!J11-'Solution  2, (hidden)'!M11," ")</f>
        <v>26018.142227780008</v>
      </c>
      <c r="P18" s="24">
        <f>IF('4. Cash flow '!E18&lt;('2. Inputs and results'!$B$21+1),'Solution 1, (hidden) (2)'!G11+'Solution 1, (hidden) (2)'!I11+'Solution 1, (hidden) (2)'!H11+'Solution 1, (hidden) (2)'!J11-'Solution 1, (hidden) (2)'!M11," ")</f>
        <v>13496.065119296003</v>
      </c>
      <c r="Q18" s="24">
        <f>IF(E18&lt;('2. Inputs and results'!$C$21+1),'Solution  2, (hidden) (2)'!G11+'Solution  2, (hidden) (2)'!I11+'Solution  2, (hidden) (2)'!H11+'Solution  2, (hidden) (2)'!J11-'Solution  2, (hidden) (2)'!M11," ")</f>
        <v>30420.349208960004</v>
      </c>
    </row>
    <row r="19" spans="3:17" x14ac:dyDescent="0.25">
      <c r="C19" s="285">
        <f>'Solution 1, (hidden)'!B12</f>
        <v>7</v>
      </c>
      <c r="D19" s="285">
        <f>'Solution  2, (hidden)'!B12</f>
        <v>7</v>
      </c>
      <c r="E19" s="285">
        <f>IF('2. Inputs and results'!$C$21&gt;='2. Inputs and results'!$B$21,'Solution  2, (hidden)'!B12,'Solution 1, (hidden)'!B12)</f>
        <v>7</v>
      </c>
      <c r="F19" s="287">
        <f>'Solution 1, (hidden)'!W12</f>
        <v>-108136.63228104371</v>
      </c>
      <c r="G19" s="287">
        <f>'Solution  2, (hidden)'!W12</f>
        <v>-79798.041623017576</v>
      </c>
      <c r="H19" s="287">
        <f>'Solution 1, (hidden)'!R12</f>
        <v>-100291.84519325502</v>
      </c>
      <c r="I19" s="287">
        <f>'Solution  2, (hidden)'!R12</f>
        <v>-62958.446303680546</v>
      </c>
      <c r="J19" s="287">
        <f>'Solution 1, (hidden) (2)'!R12</f>
        <v>-91641.89442457525</v>
      </c>
      <c r="K19" s="287">
        <f>'Solution  2, (hidden) (2)'!R12</f>
        <v>-44390.489156252777</v>
      </c>
      <c r="L19" s="30">
        <f>IF('4. Cash flow '!E19&lt;('2. Inputs and results'!$B$21+1),'Solution 1, (hidden)'!C12-'Solution 1, (hidden)'!M12," ")</f>
        <v>9620</v>
      </c>
      <c r="M19" s="30">
        <f>IF(E19&lt;('2. Inputs and results'!$C$21+1),'Solution  2, (hidden)'!C12-'Solution  2, (hidden)'!M12," ")</f>
        <v>22100</v>
      </c>
      <c r="N19" s="24">
        <f>IF('4. Cash flow '!E19&lt;('2. Inputs and results'!$B$21+1),'Solution 1, (hidden)'!G12+'Solution 1, (hidden)'!I12+'Solution 1, (hidden)'!H12+'Solution 1, (hidden)'!J12-'Solution 1, (hidden)'!M12," ")</f>
        <v>11843.839318222341</v>
      </c>
      <c r="O19" s="24">
        <f>IF(E19&lt;('2. Inputs and results'!$C$21+1),'Solution  2, (hidden)'!G12+'Solution  2, (hidden)'!I12+'Solution  2, (hidden)'!H12+'Solution  2, (hidden)'!J12-'Solution  2, (hidden)'!M12," ")</f>
        <v>26873.686494613412</v>
      </c>
      <c r="P19" s="24">
        <f>IF('4. Cash flow '!E19&lt;('2. Inputs and results'!$B$21+1),'Solution 1, (hidden) (2)'!G12+'Solution 1, (hidden) (2)'!I12+'Solution 1, (hidden) (2)'!H12+'Solution 1, (hidden) (2)'!J12-'Solution 1, (hidden) (2)'!M12," ")</f>
        <v>14416.229026453764</v>
      </c>
      <c r="Q19" s="24">
        <f>IF(E19&lt;('2. Inputs and results'!$C$21+1),'Solution  2, (hidden) (2)'!G12+'Solution  2, (hidden) (2)'!I12+'Solution  2, (hidden) (2)'!H12+'Solution  2, (hidden) (2)'!J12-'Solution  2, (hidden) (2)'!M12," ")</f>
        <v>32395.570161497613</v>
      </c>
    </row>
    <row r="20" spans="3:17" x14ac:dyDescent="0.25">
      <c r="C20" s="285">
        <f>'Solution 1, (hidden)'!B13</f>
        <v>8</v>
      </c>
      <c r="D20" s="285">
        <f>'Solution  2, (hidden)'!B13</f>
        <v>8</v>
      </c>
      <c r="E20" s="285">
        <f>IF('2. Inputs and results'!$C$21&gt;='2. Inputs and results'!$B$21,'Solution  2, (hidden)'!B13,'Solution 1, (hidden)'!B13)</f>
        <v>8</v>
      </c>
      <c r="F20" s="287">
        <f>'Solution 1, (hidden)'!W13</f>
        <v>-100679.36492666458</v>
      </c>
      <c r="G20" s="287">
        <f>'Solution  2, (hidden)'!W13</f>
        <v>-59294.00245547793</v>
      </c>
      <c r="H20" s="287">
        <f>'Solution 1, (hidden)'!R13</f>
        <v>-90043.327599351105</v>
      </c>
      <c r="I20" s="287">
        <f>'Solution  2, (hidden)'!R13</f>
        <v>-36462.718140302342</v>
      </c>
      <c r="J20" s="287">
        <f>'Solution 1, (hidden) (2)'!R13</f>
        <v>-78083.12954502576</v>
      </c>
      <c r="K20" s="287">
        <f>'Solution  2, (hidden) (2)'!R13</f>
        <v>-10788.99456819037</v>
      </c>
      <c r="L20" s="30">
        <f>IF('4. Cash flow '!E20&lt;('2. Inputs and results'!$B$21+1),'Solution 1, (hidden)'!C13-'Solution 1, (hidden)'!M13," ")</f>
        <v>9620</v>
      </c>
      <c r="M20" s="30">
        <f>IF(E20&lt;('2. Inputs and results'!$C$21+1),'Solution  2, (hidden)'!C13-'Solution  2, (hidden)'!M13," ")</f>
        <v>22100</v>
      </c>
      <c r="N20" s="24">
        <f>IF('4. Cash flow '!E20&lt;('2. Inputs and results'!$B$21+1),'Solution 1, (hidden)'!G13+'Solution 1, (hidden)'!I13+'Solution 1, (hidden)'!H13+'Solution 1, (hidden)'!J13-'Solution 1, (hidden)'!M13," ")</f>
        <v>12254.354497769013</v>
      </c>
      <c r="O20" s="24">
        <f>IF(E20&lt;('2. Inputs and results'!$C$21+1),'Solution  2, (hidden)'!G13+'Solution  2, (hidden)'!I13+'Solution  2, (hidden)'!H13+'Solution  2, (hidden)'!J13-'Solution  2, (hidden)'!M13," ")</f>
        <v>27754.897089451817</v>
      </c>
      <c r="P20" s="24">
        <f>IF('4. Cash flow '!E20&lt;('2. Inputs and results'!$B$21+1),'Solution 1, (hidden) (2)'!G13+'Solution 1, (hidden) (2)'!I13+'Solution 1, (hidden) (2)'!H13+'Solution 1, (hidden) (2)'!J13-'Solution 1, (hidden) (2)'!M13," ")</f>
        <v>15391.60276804099</v>
      </c>
      <c r="Q20" s="24">
        <f>IF(E20&lt;('2. Inputs and results'!$C$21+1),'Solution  2, (hidden) (2)'!G13+'Solution  2, (hidden) (2)'!I13+'Solution  2, (hidden) (2)'!H13+'Solution  2, (hidden) (2)'!J13-'Solution  2, (hidden) (2)'!M13," ")</f>
        <v>34489.304371187463</v>
      </c>
    </row>
    <row r="21" spans="3:17" x14ac:dyDescent="0.25">
      <c r="C21" s="285">
        <f>'Solution 1, (hidden)'!B14</f>
        <v>9</v>
      </c>
      <c r="D21" s="285">
        <f>'Solution  2, (hidden)'!B14</f>
        <v>9</v>
      </c>
      <c r="E21" s="285">
        <f>IF('2. Inputs and results'!$C$21&gt;='2. Inputs and results'!$B$21,'Solution  2, (hidden)'!B14,'Solution 1, (hidden)'!B14)</f>
        <v>9</v>
      </c>
      <c r="F21" s="287">
        <f>'Solution 1, (hidden)'!W14</f>
        <v>-93072.952225197878</v>
      </c>
      <c r="G21" s="287">
        <f>'Solution  2, (hidden)'!W14</f>
        <v>-38379.882504587491</v>
      </c>
      <c r="H21" s="287">
        <f>'Solution 1, (hidden)'!R14</f>
        <v>-79167.009018636061</v>
      </c>
      <c r="I21" s="287">
        <f>'Solution  2, (hidden)'!R14</f>
        <v>-8529.4285009730174</v>
      </c>
      <c r="J21" s="287">
        <f>'Solution 1, (hidden) (2)'!R14</f>
        <v>-63219.293201802822</v>
      </c>
      <c r="K21" s="287">
        <f>'Solution  2, (hidden) (2)'!R14</f>
        <v>25703.888173904539</v>
      </c>
      <c r="L21" s="30">
        <f>IF('4. Cash flow '!E21&lt;('2. Inputs and results'!$B$21+1),'Solution 1, (hidden)'!C14-'Solution 1, (hidden)'!M14," ")</f>
        <v>9620</v>
      </c>
      <c r="M21" s="30">
        <f>IF(E21&lt;('2. Inputs and results'!$C$21+1),'Solution  2, (hidden)'!C14-'Solution  2, (hidden)'!M14," ")</f>
        <v>22100</v>
      </c>
      <c r="N21" s="24">
        <f>IF('4. Cash flow '!E21&lt;('2. Inputs and results'!$B$21+1),'Solution 1, (hidden)'!G14+'Solution 1, (hidden)'!I14+'Solution 1, (hidden)'!H14+'Solution 1, (hidden)'!J14-'Solution 1, (hidden)'!M14," ")</f>
        <v>12677.185132702083</v>
      </c>
      <c r="O21" s="24">
        <f>IF(E21&lt;('2. Inputs and results'!$C$21+1),'Solution  2, (hidden)'!G14+'Solution  2, (hidden)'!I14+'Solution  2, (hidden)'!H14+'Solution  2, (hidden)'!J14-'Solution  2, (hidden)'!M14," ")</f>
        <v>28662.544002135372</v>
      </c>
      <c r="P21" s="24">
        <f>IF('4. Cash flow '!E21&lt;('2. Inputs and results'!$B$21+1),'Solution 1, (hidden) (2)'!G14+'Solution 1, (hidden) (2)'!I14+'Solution 1, (hidden) (2)'!H14+'Solution 1, (hidden) (2)'!J14-'Solution 1, (hidden) (2)'!M14," ")</f>
        <v>16425.498934123447</v>
      </c>
      <c r="Q21" s="24">
        <f>IF(E21&lt;('2. Inputs and results'!$C$21+1),'Solution  2, (hidden) (2)'!G14+'Solution  2, (hidden) (2)'!I14+'Solution  2, (hidden) (2)'!H14+'Solution  2, (hidden) (2)'!J14-'Solution  2, (hidden) (2)'!M14," ")</f>
        <v>36708.66263345872</v>
      </c>
    </row>
    <row r="22" spans="3:17" x14ac:dyDescent="0.25">
      <c r="C22" s="285">
        <f>'Solution 1, (hidden)'!B15</f>
        <v>10</v>
      </c>
      <c r="D22" s="285">
        <f>'Solution  2, (hidden)'!B15</f>
        <v>10</v>
      </c>
      <c r="E22" s="285">
        <f>IF('2. Inputs and results'!$C$21&gt;='2. Inputs and results'!$B$21,'Solution  2, (hidden)'!B15,'Solution 1, (hidden)'!B15)</f>
        <v>10</v>
      </c>
      <c r="F22" s="287">
        <f>'Solution 1, (hidden)'!W15</f>
        <v>-85314.411269701843</v>
      </c>
      <c r="G22" s="287">
        <f>'Solution  2, (hidden)'!W15</f>
        <v>-17047.480154679241</v>
      </c>
      <c r="H22" s="287">
        <f>'Solution 1, (hidden)'!R15</f>
        <v>-67637.648512325643</v>
      </c>
      <c r="I22" s="287">
        <f>'Solution  2, (hidden)'!R15</f>
        <v>20897.403251206953</v>
      </c>
      <c r="J22" s="287">
        <f>'Solution 1, (hidden) (2)'!R15</f>
        <v>-46962.250195668028</v>
      </c>
      <c r="K22" s="287">
        <f>'Solution  2, (hidden) (2)'!R15</f>
        <v>64765.070565370785</v>
      </c>
      <c r="L22" s="30">
        <f>IF('4. Cash flow '!E22&lt;('2. Inputs and results'!$B$21+1),'Solution 1, (hidden)'!C15-'Solution 1, (hidden)'!M15," ")</f>
        <v>9620</v>
      </c>
      <c r="M22" s="30">
        <f>IF(E22&lt;('2. Inputs and results'!$C$21+1),'Solution  2, (hidden)'!C15-'Solution  2, (hidden)'!M15," ")</f>
        <v>22100</v>
      </c>
      <c r="N22" s="24">
        <f>IF('4. Cash flow '!E22&lt;('2. Inputs and results'!$B$21+1),'Solution 1, (hidden)'!G15+'Solution 1, (hidden)'!I15+'Solution 1, (hidden)'!H15+'Solution 1, (hidden)'!J15-'Solution 1, (hidden)'!M15," ")</f>
        <v>13112.700686683145</v>
      </c>
      <c r="O22" s="24">
        <f>IF(E22&lt;('2. Inputs and results'!$C$21+1),'Solution  2, (hidden)'!G15+'Solution  2, (hidden)'!I15+'Solution  2, (hidden)'!H15+'Solution  2, (hidden)'!J15-'Solution  2, (hidden)'!M15," ")</f>
        <v>29597.420322199428</v>
      </c>
      <c r="P22" s="24">
        <f>IF('4. Cash flow '!E22&lt;('2. Inputs and results'!$B$21+1),'Solution 1, (hidden) (2)'!G15+'Solution 1, (hidden) (2)'!I15+'Solution 1, (hidden) (2)'!H15+'Solution 1, (hidden) (2)'!J15-'Solution 1, (hidden) (2)'!M15," ")</f>
        <v>17521.428870170854</v>
      </c>
      <c r="Q22" s="24">
        <f>IF(E22&lt;('2. Inputs and results'!$C$21+1),'Solution  2, (hidden) (2)'!G15+'Solution  2, (hidden) (2)'!I15+'Solution  2, (hidden) (2)'!H15+'Solution  2, (hidden) (2)'!J15-'Solution  2, (hidden) (2)'!M15," ")</f>
        <v>39061.182391466245</v>
      </c>
    </row>
    <row r="23" spans="3:17" x14ac:dyDescent="0.25">
      <c r="C23" s="285">
        <f>'Solution 1, (hidden)'!B16</f>
        <v>11</v>
      </c>
      <c r="D23" s="285">
        <f>'Solution  2, (hidden)'!B16</f>
        <v>11</v>
      </c>
      <c r="E23" s="285">
        <f>IF('2. Inputs and results'!$C$21&gt;='2. Inputs and results'!$B$21,'Solution  2, (hidden)'!B16,'Solution 1, (hidden)'!B16)</f>
        <v>11</v>
      </c>
      <c r="F23" s="287">
        <f>'Solution 1, (hidden)'!W16</f>
        <v>-77400.699495095876</v>
      </c>
      <c r="G23" s="287">
        <f>'Solution  2, (hidden)'!W16</f>
        <v>4711.5702422271743</v>
      </c>
      <c r="H23" s="287">
        <f>'Solution 1, (hidden)'!R16</f>
        <v>-55429.119775288513</v>
      </c>
      <c r="I23" s="287">
        <f>'Solution  2, (hidden)'!R16</f>
        <v>51457.746183072355</v>
      </c>
      <c r="J23" s="287">
        <f>'Solution 1, (hidden) (2)'!R16</f>
        <v>-29218.380597200285</v>
      </c>
      <c r="K23" s="287">
        <f>'Solution  2, (hidden) (2)'!R16</f>
        <v>106319.923900325</v>
      </c>
      <c r="L23" s="30">
        <f>IF('4. Cash flow '!E23&lt;('2. Inputs and results'!$B$21+1),'Solution 1, (hidden)'!C16-'Solution 1, (hidden)'!M16," ")</f>
        <v>9620</v>
      </c>
      <c r="M23" s="30">
        <f>IF(E23&lt;('2. Inputs and results'!$C$21+1),'Solution  2, (hidden)'!C16-'Solution  2, (hidden)'!M16," ")</f>
        <v>22100</v>
      </c>
      <c r="N23" s="24">
        <f>IF('4. Cash flow '!E23&lt;('2. Inputs and results'!$B$21+1),'Solution 1, (hidden)'!G16+'Solution 1, (hidden)'!I16+'Solution 1, (hidden)'!H16+'Solution 1, (hidden)'!J16-'Solution 1, (hidden)'!M16," ")</f>
        <v>13561.281707283641</v>
      </c>
      <c r="O23" s="24">
        <f>IF(E23&lt;('2. Inputs and results'!$C$21+1),'Solution  2, (hidden)'!G16+'Solution  2, (hidden)'!I16+'Solution  2, (hidden)'!H16+'Solution  2, (hidden)'!J16-'Solution  2, (hidden)'!M16," ")</f>
        <v>30560.342931865409</v>
      </c>
      <c r="P23" s="24">
        <f>IF('4. Cash flow '!E23&lt;('2. Inputs and results'!$B$21+1),'Solution 1, (hidden) (2)'!G16+'Solution 1, (hidden) (2)'!I16+'Solution 1, (hidden) (2)'!H16+'Solution 1, (hidden) (2)'!J16-'Solution 1, (hidden) (2)'!M16," ")</f>
        <v>18683.114602381105</v>
      </c>
      <c r="Q23" s="24">
        <f>IF(E23&lt;('2. Inputs and results'!$C$21+1),'Solution  2, (hidden) (2)'!G16+'Solution  2, (hidden) (2)'!I16+'Solution  2, (hidden) (2)'!H16+'Solution  2, (hidden) (2)'!J16-'Solution  2, (hidden) (2)'!M16," ")</f>
        <v>41554.853334954219</v>
      </c>
    </row>
    <row r="24" spans="3:17" x14ac:dyDescent="0.25">
      <c r="C24" s="285">
        <f>'Solution 1, (hidden)'!B17</f>
        <v>12</v>
      </c>
      <c r="D24" s="285">
        <f>'Solution  2, (hidden)'!B17</f>
        <v>12</v>
      </c>
      <c r="E24" s="285">
        <f>IF('2. Inputs and results'!$C$21&gt;='2. Inputs and results'!$B$21,'Solution  2, (hidden)'!B17,'Solution 1, (hidden)'!B17)</f>
        <v>12</v>
      </c>
      <c r="F24" s="287">
        <f>'Solution 1, (hidden)'!W17</f>
        <v>-69328.713484997788</v>
      </c>
      <c r="G24" s="287">
        <f>'Solution  2, (hidden)'!W17</f>
        <v>26811.570242227175</v>
      </c>
      <c r="H24" s="287">
        <f>'Solution 1, (hidden)'!R17</f>
        <v>-42514.382012292132</v>
      </c>
      <c r="I24" s="287">
        <f>'Solution  2, (hidden)'!R17</f>
        <v>83009.899402893716</v>
      </c>
      <c r="J24" s="287">
        <f>'Solution 1, (hidden) (2)'!R17</f>
        <v>-9888.246730620318</v>
      </c>
      <c r="K24" s="287">
        <f>'Solution  2, (hidden) (2)'!R17</f>
        <v>150518.06843537648</v>
      </c>
      <c r="L24" s="30">
        <f>IF('4. Cash flow '!E24&lt;('2. Inputs and results'!$B$21+1),'Solution 1, (hidden)'!C17-'Solution 1, (hidden)'!M17," ")</f>
        <v>9620</v>
      </c>
      <c r="M24" s="30">
        <f>IF(E24&lt;('2. Inputs and results'!$C$21+1),'Solution  2, (hidden)'!C17-'Solution  2, (hidden)'!M17," ")</f>
        <v>22100</v>
      </c>
      <c r="N24" s="24">
        <f>IF('4. Cash flow '!E24&lt;('2. Inputs and results'!$B$21+1),'Solution 1, (hidden)'!G17+'Solution 1, (hidden)'!I17+'Solution 1, (hidden)'!H17+'Solution 1, (hidden)'!J17-'Solution 1, (hidden)'!M17," ")</f>
        <v>14023.320158502151</v>
      </c>
      <c r="O24" s="24">
        <f>IF(E24&lt;('2. Inputs and results'!$C$21+1),'Solution  2, (hidden)'!G17+'Solution  2, (hidden)'!I17+'Solution  2, (hidden)'!H17+'Solution  2, (hidden)'!J17-'Solution  2, (hidden)'!M17," ")</f>
        <v>31552.153219821368</v>
      </c>
      <c r="P24" s="24">
        <f>IF('4. Cash flow '!E24&lt;('2. Inputs and results'!$B$21+1),'Solution 1, (hidden) (2)'!G17+'Solution 1, (hidden) (2)'!I17+'Solution 1, (hidden) (2)'!H17+'Solution 1, (hidden) (2)'!J17-'Solution 1, (hidden) (2)'!M17," ")</f>
        <v>19914.501478523973</v>
      </c>
      <c r="Q24" s="24">
        <f>IF(E24&lt;('2. Inputs and results'!$C$21+1),'Solution  2, (hidden) (2)'!G17+'Solution  2, (hidden) (2)'!I17+'Solution  2, (hidden) (2)'!H17+'Solution  2, (hidden) (2)'!J17-'Solution  2, (hidden) (2)'!M17," ")</f>
        <v>44198.14453505147</v>
      </c>
    </row>
    <row r="25" spans="3:17" x14ac:dyDescent="0.25">
      <c r="C25" s="285">
        <f>'Solution 1, (hidden)'!B18</f>
        <v>13</v>
      </c>
      <c r="D25" s="285">
        <f>'Solution  2, (hidden)'!B18</f>
        <v>13</v>
      </c>
      <c r="E25" s="285">
        <f>IF('2. Inputs and results'!$C$21&gt;='2. Inputs and results'!$B$21,'Solution  2, (hidden)'!B18,'Solution 1, (hidden)'!B18)</f>
        <v>13</v>
      </c>
      <c r="F25" s="287">
        <f>'Solution 1, (hidden)'!W18</f>
        <v>-61095.287754697747</v>
      </c>
      <c r="G25" s="287">
        <f>'Solution  2, (hidden)'!W18</f>
        <v>48911.570242227172</v>
      </c>
      <c r="H25" s="287">
        <f>'Solution 1, (hidden)'!R18</f>
        <v>-28865.449889280761</v>
      </c>
      <c r="I25" s="287">
        <f>'Solution  2, (hidden)'!R18</f>
        <v>115583.61721930972</v>
      </c>
      <c r="J25" s="287">
        <f>'Solution 1, (hidden) (2)'!R18</f>
        <v>11133.759902002685</v>
      </c>
      <c r="K25" s="287">
        <f>'Solution  2, (hidden) (2)'!R18</f>
        <v>197518.10164253105</v>
      </c>
      <c r="L25" s="30">
        <f>IF('4. Cash flow '!E25&lt;('2. Inputs and results'!$B$21+1),'Solution 1, (hidden)'!C18-'Solution 1, (hidden)'!M18," ")</f>
        <v>9620</v>
      </c>
      <c r="M25" s="30">
        <f>IF(E25&lt;('2. Inputs and results'!$C$21+1),'Solution  2, (hidden)'!C18-'Solution  2, (hidden)'!M18," ")</f>
        <v>22100</v>
      </c>
      <c r="N25" s="24">
        <f>IF('4. Cash flow '!E25&lt;('2. Inputs and results'!$B$21+1),'Solution 1, (hidden)'!G18+'Solution 1, (hidden)'!I18+'Solution 1, (hidden)'!H18+'Solution 1, (hidden)'!J18-'Solution 1, (hidden)'!M18," ")</f>
        <v>14499.219763257213</v>
      </c>
      <c r="O25" s="24">
        <f>IF(E25&lt;('2. Inputs and results'!$C$21+1),'Solution  2, (hidden)'!G18+'Solution  2, (hidden)'!I18+'Solution  2, (hidden)'!H18+'Solution  2, (hidden)'!J18-'Solution  2, (hidden)'!M18," ")</f>
        <v>32573.717816416014</v>
      </c>
      <c r="P25" s="24">
        <f>IF('4. Cash flow '!E25&lt;('2. Inputs and results'!$B$21+1),'Solution 1, (hidden) (2)'!G18+'Solution 1, (hidden) (2)'!I18+'Solution 1, (hidden) (2)'!H18+'Solution 1, (hidden) (2)'!J18-'Solution 1, (hidden) (2)'!M18," ")</f>
        <v>21219.77156723541</v>
      </c>
      <c r="Q25" s="24">
        <f>IF(E25&lt;('2. Inputs and results'!$C$21+1),'Solution  2, (hidden) (2)'!G18+'Solution  2, (hidden) (2)'!I18+'Solution  2, (hidden) (2)'!H18+'Solution  2, (hidden) (2)'!J18-'Solution  2, (hidden) (2)'!M18," ")</f>
        <v>47000.033207154556</v>
      </c>
    </row>
    <row r="26" spans="3:17" x14ac:dyDescent="0.25">
      <c r="C26" s="285">
        <f>'Solution 1, (hidden)'!B19</f>
        <v>14</v>
      </c>
      <c r="D26" s="285">
        <f>'Solution  2, (hidden)'!B19</f>
        <v>14</v>
      </c>
      <c r="E26" s="285">
        <f>IF('2. Inputs and results'!$C$21&gt;='2. Inputs and results'!$B$21,'Solution  2, (hidden)'!B19,'Solution 1, (hidden)'!B19)</f>
        <v>14</v>
      </c>
      <c r="F26" s="287">
        <f>'Solution 1, (hidden)'!W19</f>
        <v>-52697.193509791701</v>
      </c>
      <c r="G26" s="287">
        <f>'Solution  2, (hidden)'!W19</f>
        <v>71011.570242227172</v>
      </c>
      <c r="H26" s="287">
        <f>'Solution 1, (hidden)'!R19</f>
        <v>-14453.362530911443</v>
      </c>
      <c r="I26" s="287">
        <f>'Solution  2, (hidden)'!R19</f>
        <v>149209.54657021823</v>
      </c>
      <c r="J26" s="287">
        <f>'Solution 1, (hidden) (2)'!R19</f>
        <v>33737.117763272225</v>
      </c>
      <c r="K26" s="287">
        <f>'Solution  2, (hidden) (2)'!R19</f>
        <v>247488.13684211488</v>
      </c>
      <c r="L26" s="30">
        <f>IF('4. Cash flow '!E26&lt;('2. Inputs and results'!$B$21+1),'Solution 1, (hidden)'!C19-'Solution 1, (hidden)'!M19," ")</f>
        <v>9620</v>
      </c>
      <c r="M26" s="30">
        <f>IF(E26&lt;('2. Inputs and results'!$C$21+1),'Solution  2, (hidden)'!C19-'Solution  2, (hidden)'!M19," ")</f>
        <v>22100</v>
      </c>
      <c r="N26" s="24">
        <f>IF('4. Cash flow '!E26&lt;('2. Inputs and results'!$B$21+1),'Solution 1, (hidden)'!G19+'Solution 1, (hidden)'!I19+'Solution 1, (hidden)'!H19+'Solution 1, (hidden)'!J19-'Solution 1, (hidden)'!M19," ")</f>
        <v>14989.396356154932</v>
      </c>
      <c r="O26" s="24">
        <f>IF(E26&lt;('2. Inputs and results'!$C$21+1),'Solution  2, (hidden)'!G19+'Solution  2, (hidden)'!I19+'Solution  2, (hidden)'!H19+'Solution  2, (hidden)'!J19-'Solution  2, (hidden)'!M19," ")</f>
        <v>33625.929350908504</v>
      </c>
      <c r="P26" s="24">
        <f>IF('4. Cash flow '!E26&lt;('2. Inputs and results'!$B$21+1),'Solution 1, (hidden) (2)'!G19+'Solution 1, (hidden) (2)'!I19+'Solution 1, (hidden) (2)'!H19+'Solution 1, (hidden) (2)'!J19-'Solution 1, (hidden) (2)'!M19," ")</f>
        <v>22603.357861269535</v>
      </c>
      <c r="Q26" s="24">
        <f>IF(E26&lt;('2. Inputs and results'!$C$21+1),'Solution  2, (hidden) (2)'!G19+'Solution  2, (hidden) (2)'!I19+'Solution  2, (hidden) (2)'!H19+'Solution  2, (hidden) (2)'!J19-'Solution  2, (hidden) (2)'!M19," ")</f>
        <v>49970.035199583828</v>
      </c>
    </row>
    <row r="27" spans="3:17" x14ac:dyDescent="0.25">
      <c r="C27" s="285">
        <f>'Solution 1, (hidden)'!B20</f>
        <v>15</v>
      </c>
      <c r="D27" s="285">
        <f>'Solution  2, (hidden)'!B20</f>
        <v>15</v>
      </c>
      <c r="E27" s="285">
        <f>IF('2. Inputs and results'!$C$21&gt;='2. Inputs and results'!$B$21,'Solution  2, (hidden)'!B20,'Solution 1, (hidden)'!B20)</f>
        <v>15</v>
      </c>
      <c r="F27" s="287">
        <f>'Solution 1, (hidden)'!W20</f>
        <v>-44131.137379987536</v>
      </c>
      <c r="G27" s="287">
        <f>'Solution  2, (hidden)'!W20</f>
        <v>93111.570242227172</v>
      </c>
      <c r="H27" s="287">
        <f>'Solution 1, (hidden)'!R20</f>
        <v>751.84846530990671</v>
      </c>
      <c r="I27" s="287">
        <f>'Solution  2, (hidden)'!R20</f>
        <v>183919.25380165398</v>
      </c>
      <c r="J27" s="287">
        <f>'Solution 1, (hidden) (2)'!R20</f>
        <v>57807.077096217938</v>
      </c>
      <c r="K27" s="287">
        <f>'Solution  2, (hidden) (2)'!R20</f>
        <v>300606.37415367371</v>
      </c>
      <c r="L27" s="30">
        <f>IF('4. Cash flow '!E27&lt;('2. Inputs and results'!$B$21+1),'Solution 1, (hidden)'!C20-'Solution 1, (hidden)'!M20," ")</f>
        <v>9620</v>
      </c>
      <c r="M27" s="30">
        <f>IF(E27&lt;('2. Inputs and results'!$C$21+1),'Solution  2, (hidden)'!C20-'Solution  2, (hidden)'!M20," ")</f>
        <v>22100</v>
      </c>
      <c r="N27" s="24">
        <f>IF('4. Cash flow '!E27&lt;('2. Inputs and results'!$B$21+1),'Solution 1, (hidden)'!G20+'Solution 1, (hidden)'!I20+'Solution 1, (hidden)'!H20+'Solution 1, (hidden)'!J20-'Solution 1, (hidden)'!M20," ")</f>
        <v>15494.278246839578</v>
      </c>
      <c r="O27" s="24">
        <f>IF(E27&lt;('2. Inputs and results'!$C$21+1),'Solution  2, (hidden)'!G20+'Solution  2, (hidden)'!I20+'Solution  2, (hidden)'!H20+'Solution  2, (hidden)'!J20-'Solution  2, (hidden)'!M20," ")</f>
        <v>34709.707231435765</v>
      </c>
      <c r="P27" s="24">
        <f>IF('4. Cash flow '!E27&lt;('2. Inputs and results'!$B$21+1),'Solution 1, (hidden) (2)'!G20+'Solution 1, (hidden) (2)'!I20+'Solution 1, (hidden) (2)'!H20+'Solution 1, (hidden) (2)'!J20-'Solution 1, (hidden) (2)'!M20," ")</f>
        <v>24069.959332945709</v>
      </c>
      <c r="Q27" s="24">
        <f>IF(E27&lt;('2. Inputs and results'!$C$21+1),'Solution  2, (hidden) (2)'!G20+'Solution  2, (hidden) (2)'!I20+'Solution  2, (hidden) (2)'!H20+'Solution  2, (hidden) (2)'!J20-'Solution  2, (hidden) (2)'!M20," ")</f>
        <v>53118.237311558863</v>
      </c>
    </row>
    <row r="28" spans="3:17" x14ac:dyDescent="0.25">
      <c r="C28" s="285">
        <f>'Solution 1, (hidden)'!B21</f>
        <v>16</v>
      </c>
      <c r="D28" s="285">
        <f>'Solution  2, (hidden)'!B21</f>
        <v>16</v>
      </c>
      <c r="E28" s="285">
        <f>IF('2. Inputs and results'!$C$21&gt;='2. Inputs and results'!$B$21,'Solution  2, (hidden)'!B21,'Solution 1, (hidden)'!B21)</f>
        <v>16</v>
      </c>
      <c r="F28" s="287">
        <f>'Solution 1, (hidden)'!W21</f>
        <v>-35393.760127587288</v>
      </c>
      <c r="G28" s="287">
        <f>'Solution  2, (hidden)'!W21</f>
        <v>115211.57024222717</v>
      </c>
      <c r="H28" s="287">
        <f>'Solution 1, (hidden)'!R21</f>
        <v>16766.155059554672</v>
      </c>
      <c r="I28" s="287">
        <f>'Solution  2, (hidden)'!R21</f>
        <v>219745.25225003279</v>
      </c>
      <c r="J28" s="287">
        <f>'Solution 1, (hidden) (2)'!R21</f>
        <v>83431.633989140391</v>
      </c>
      <c r="K28" s="287">
        <f>'Solution  2, (hidden) (2)'!R21</f>
        <v>357061.7057039261</v>
      </c>
      <c r="L28" s="30">
        <f>IF('4. Cash flow '!E28&lt;('2. Inputs and results'!$B$21+1),'Solution 1, (hidden)'!C21-'Solution 1, (hidden)'!M21," ")</f>
        <v>9620</v>
      </c>
      <c r="M28" s="30">
        <f>IF(E28&lt;('2. Inputs and results'!$C$21+1),'Solution  2, (hidden)'!C21-'Solution  2, (hidden)'!M21," ")</f>
        <v>22100</v>
      </c>
      <c r="N28" s="24">
        <f>IF('4. Cash flow '!E28&lt;('2. Inputs and results'!$B$21+1),'Solution 1, (hidden)'!G21+'Solution 1, (hidden)'!I21+'Solution 1, (hidden)'!H21+'Solution 1, (hidden)'!J21-'Solution 1, (hidden)'!M21," ")</f>
        <v>16014.306594244765</v>
      </c>
      <c r="O28" s="24">
        <f>IF(E28&lt;('2. Inputs and results'!$C$21+1),'Solution  2, (hidden)'!G21+'Solution  2, (hidden)'!I21+'Solution  2, (hidden)'!H21+'Solution  2, (hidden)'!J21-'Solution  2, (hidden)'!M21," ")</f>
        <v>35825.998448378828</v>
      </c>
      <c r="P28" s="24">
        <f>IF('4. Cash flow '!E28&lt;('2. Inputs and results'!$B$21+1),'Solution 1, (hidden) (2)'!G21+'Solution 1, (hidden) (2)'!I21+'Solution 1, (hidden) (2)'!H21+'Solution 1, (hidden) (2)'!J21-'Solution 1, (hidden) (2)'!M21," ")</f>
        <v>25624.556892922454</v>
      </c>
      <c r="Q28" s="24">
        <f>IF(E28&lt;('2. Inputs and results'!$C$21+1),'Solution  2, (hidden) (2)'!G21+'Solution  2, (hidden) (2)'!I21+'Solution  2, (hidden) (2)'!H21+'Solution  2, (hidden) (2)'!J21-'Solution  2, (hidden) (2)'!M21," ")</f>
        <v>56455.331550252391</v>
      </c>
    </row>
    <row r="29" spans="3:17" x14ac:dyDescent="0.25">
      <c r="C29" s="285">
        <f>'Solution 1, (hidden)'!B22</f>
        <v>17</v>
      </c>
      <c r="D29" s="285">
        <f>'Solution  2, (hidden)'!B22</f>
        <v>17</v>
      </c>
      <c r="E29" s="285">
        <f>IF('2. Inputs and results'!$C$21&gt;='2. Inputs and results'!$B$21,'Solution  2, (hidden)'!B22,'Solution 1, (hidden)'!B22)</f>
        <v>17</v>
      </c>
      <c r="F29" s="287">
        <f>'Solution 1, (hidden)'!W22</f>
        <v>-26481.635330139034</v>
      </c>
      <c r="G29" s="287">
        <f>'Solution  2, (hidden)'!W22</f>
        <v>137311.57024222717</v>
      </c>
      <c r="H29" s="287">
        <f>'Solution 1, (hidden)'!R22</f>
        <v>33316.090851626781</v>
      </c>
      <c r="I29" s="287">
        <f>'Solution  2, (hidden)'!R22</f>
        <v>256721.03065186297</v>
      </c>
      <c r="J29" s="287">
        <f>'Solution 1, (hidden) (2)'!R22</f>
        <v>110704.06429563819</v>
      </c>
      <c r="K29" s="287">
        <f>'Solution  2, (hidden) (2)'!R22</f>
        <v>417054.35714719363</v>
      </c>
      <c r="L29" s="30">
        <f>IF('4. Cash flow '!E29&lt;('2. Inputs and results'!$B$21+1),'Solution 1, (hidden)'!C22-'Solution 1, (hidden)'!M22," ")</f>
        <v>9620</v>
      </c>
      <c r="M29" s="30">
        <f>IF(E29&lt;('2. Inputs and results'!$C$21+1),'Solution  2, (hidden)'!C22-'Solution  2, (hidden)'!M22," ")</f>
        <v>22100</v>
      </c>
      <c r="N29" s="24">
        <f>IF('4. Cash flow '!E29&lt;('2. Inputs and results'!$B$21+1),'Solution 1, (hidden)'!G22+'Solution 1, (hidden)'!I22+'Solution 1, (hidden)'!H22+'Solution 1, (hidden)'!J22-'Solution 1, (hidden)'!M22," ")</f>
        <v>16549.935792072112</v>
      </c>
      <c r="O29" s="24">
        <f>IF(E29&lt;('2. Inputs and results'!$C$21+1),'Solution  2, (hidden)'!G22+'Solution  2, (hidden)'!I22+'Solution  2, (hidden)'!H22+'Solution  2, (hidden)'!J22-'Solution  2, (hidden)'!M22," ")</f>
        <v>36975.77840183019</v>
      </c>
      <c r="P29" s="24">
        <f>IF('4. Cash flow '!E29&lt;('2. Inputs and results'!$B$21+1),'Solution 1, (hidden) (2)'!G22+'Solution 1, (hidden) (2)'!I22+'Solution 1, (hidden) (2)'!H22+'Solution 1, (hidden) (2)'!J22-'Solution 1, (hidden) (2)'!M22," ")</f>
        <v>27272.430306497801</v>
      </c>
      <c r="Q29" s="24">
        <f>IF(E29&lt;('2. Inputs and results'!$C$21+1),'Solution  2, (hidden) (2)'!G22+'Solution  2, (hidden) (2)'!I22+'Solution  2, (hidden) (2)'!H22+'Solution  2, (hidden) (2)'!J22-'Solution  2, (hidden) (2)'!M22," ")</f>
        <v>59992.651443267532</v>
      </c>
    </row>
    <row r="30" spans="3:17" x14ac:dyDescent="0.25">
      <c r="C30" s="285">
        <f>'Solution 1, (hidden)'!B23</f>
        <v>18</v>
      </c>
      <c r="D30" s="285">
        <f>'Solution  2, (hidden)'!B23</f>
        <v>18</v>
      </c>
      <c r="E30" s="285">
        <f>IF('2. Inputs and results'!$C$21&gt;='2. Inputs and results'!$B$21,'Solution  2, (hidden)'!B23,'Solution 1, (hidden)'!B23)</f>
        <v>18</v>
      </c>
      <c r="F30" s="287">
        <f>'Solution 1, (hidden)'!W23</f>
        <v>-17391.268036741814</v>
      </c>
      <c r="G30" s="287">
        <f>'Solution  2, (hidden)'!W23</f>
        <v>159411.57024222717</v>
      </c>
      <c r="H30" s="287">
        <f>'Solution 1, (hidden)'!R23</f>
        <v>50417.724717461053</v>
      </c>
      <c r="I30" s="287">
        <f>'Solution  2, (hidden)'!R23</f>
        <v>294881.08240574808</v>
      </c>
      <c r="J30" s="287">
        <f>'Solution 1, (hidden) (2)'!R23</f>
        <v>139723.24042052586</v>
      </c>
      <c r="K30" s="287">
        <f>'Solution  2, (hidden) (2)'!R23</f>
        <v>480796.56767705723</v>
      </c>
      <c r="L30" s="30">
        <f>IF('4. Cash flow '!E30&lt;('2. Inputs and results'!$B$21+1),'Solution 1, (hidden)'!C23-'Solution 1, (hidden)'!M23," ")</f>
        <v>9620</v>
      </c>
      <c r="M30" s="30">
        <f>IF(E30&lt;('2. Inputs and results'!$C$21+1),'Solution  2, (hidden)'!C23-'Solution  2, (hidden)'!M23," ")</f>
        <v>22100</v>
      </c>
      <c r="N30" s="24">
        <f>IF('4. Cash flow '!E30&lt;('2. Inputs and results'!$B$21+1),'Solution 1, (hidden)'!G23+'Solution 1, (hidden)'!I23+'Solution 1, (hidden)'!H23+'Solution 1, (hidden)'!J23-'Solution 1, (hidden)'!M23," ")</f>
        <v>17101.633865834276</v>
      </c>
      <c r="O30" s="24">
        <f>IF(E30&lt;('2. Inputs and results'!$C$21+1),'Solution  2, (hidden)'!G23+'Solution  2, (hidden)'!I23+'Solution  2, (hidden)'!H23+'Solution  2, (hidden)'!J23-'Solution  2, (hidden)'!M23," ")</f>
        <v>38160.051753885091</v>
      </c>
      <c r="P30" s="24">
        <f>IF('4. Cash flow '!E30&lt;('2. Inputs and results'!$B$21+1),'Solution 1, (hidden) (2)'!G23+'Solution 1, (hidden) (2)'!I23+'Solution 1, (hidden) (2)'!H23+'Solution 1, (hidden) (2)'!J23-'Solution 1, (hidden) (2)'!M23," ")</f>
        <v>29019.176124887672</v>
      </c>
      <c r="Q30" s="24">
        <f>IF(E30&lt;('2. Inputs and results'!$C$21+1),'Solution  2, (hidden) (2)'!G23+'Solution  2, (hidden) (2)'!I23+'Solution  2, (hidden) (2)'!H23+'Solution  2, (hidden) (2)'!J23-'Solution  2, (hidden) (2)'!M23," ")</f>
        <v>63742.210529863587</v>
      </c>
    </row>
    <row r="31" spans="3:17" x14ac:dyDescent="0.25">
      <c r="C31" s="285">
        <f>'Solution 1, (hidden)'!B24</f>
        <v>19</v>
      </c>
      <c r="D31" s="285">
        <f>'Solution  2, (hidden)'!B24</f>
        <v>19</v>
      </c>
      <c r="E31" s="285">
        <f>IF('2. Inputs and results'!$C$21&gt;='2. Inputs and results'!$B$21,'Solution  2, (hidden)'!B24,'Solution 1, (hidden)'!B24)</f>
        <v>19</v>
      </c>
      <c r="F31" s="287">
        <f>'Solution 1, (hidden)'!W24</f>
        <v>-8119.0933974766504</v>
      </c>
      <c r="G31" s="287">
        <f>'Solution  2, (hidden)'!W24</f>
        <v>181511.57024222717</v>
      </c>
      <c r="H31" s="287">
        <f>'Solution 1, (hidden)'!R24</f>
        <v>68087.60759927037</v>
      </c>
      <c r="I31" s="287">
        <f>'Solution  2, (hidden)'!R24</f>
        <v>334260.93571224972</v>
      </c>
      <c r="J31" s="287">
        <f>'Solution 1, (hidden) (2)'!R24</f>
        <v>170593.9671129068</v>
      </c>
      <c r="K31" s="287">
        <f>'Solution  2, (hidden) (2)'!R24</f>
        <v>548513.31083871261</v>
      </c>
      <c r="L31" s="30">
        <f>IF('4. Cash flow '!E31&lt;('2. Inputs and results'!$B$21+1),'Solution 1, (hidden)'!C24-'Solution 1, (hidden)'!M24," ")</f>
        <v>9620</v>
      </c>
      <c r="M31" s="30">
        <f>IF(E31&lt;('2. Inputs and results'!$C$21+1),'Solution  2, (hidden)'!C24-'Solution  2, (hidden)'!M24," ")</f>
        <v>22100</v>
      </c>
      <c r="N31" s="24">
        <f>IF('4. Cash flow '!E31&lt;('2. Inputs and results'!$B$21+1),'Solution 1, (hidden)'!G24+'Solution 1, (hidden)'!I24+'Solution 1, (hidden)'!H24+'Solution 1, (hidden)'!J24-'Solution 1, (hidden)'!M24," ")</f>
        <v>17669.882881809302</v>
      </c>
      <c r="O31" s="24">
        <f>IF(E31&lt;('2. Inputs and results'!$C$21+1),'Solution  2, (hidden)'!G24+'Solution  2, (hidden)'!I24+'Solution  2, (hidden)'!H24+'Solution  2, (hidden)'!J24-'Solution  2, (hidden)'!M24," ")</f>
        <v>39379.853306501638</v>
      </c>
      <c r="P31" s="24">
        <f>IF('4. Cash flow '!E31&lt;('2. Inputs and results'!$B$21+1),'Solution 1, (hidden) (2)'!G24+'Solution 1, (hidden) (2)'!I24+'Solution 1, (hidden) (2)'!H24+'Solution 1, (hidden) (2)'!J24-'Solution 1, (hidden) (2)'!M24," ")</f>
        <v>30870.726692380933</v>
      </c>
      <c r="Q31" s="24">
        <f>IF(E31&lt;('2. Inputs and results'!$C$21+1),'Solution  2, (hidden) (2)'!G24+'Solution  2, (hidden) (2)'!I24+'Solution  2, (hidden) (2)'!H24+'Solution  2, (hidden) (2)'!J24-'Solution  2, (hidden) (2)'!M24," ")</f>
        <v>67716.743161655409</v>
      </c>
    </row>
    <row r="32" spans="3:17" x14ac:dyDescent="0.25">
      <c r="C32" s="285">
        <f>'Solution 1, (hidden)'!B25</f>
        <v>20</v>
      </c>
      <c r="D32" s="285">
        <f>'Solution  2, (hidden)'!B25</f>
        <v>20</v>
      </c>
      <c r="E32" s="285">
        <f>IF('2. Inputs and results'!$C$21&gt;='2. Inputs and results'!$B$21,'Solution  2, (hidden)'!B25,'Solution 1, (hidden)'!B25)</f>
        <v>20</v>
      </c>
      <c r="F32" s="287">
        <f>'Solution 1, (hidden)'!W25</f>
        <v>1338.5247345738167</v>
      </c>
      <c r="G32" s="287">
        <f>'Solution  2, (hidden)'!W25</f>
        <v>203611.57024222717</v>
      </c>
      <c r="H32" s="287">
        <f>'Solution 1, (hidden)'!R25</f>
        <v>86342.786967533961</v>
      </c>
      <c r="I32" s="287">
        <f>'Solution  2, (hidden)'!R25</f>
        <v>374897.18461794639</v>
      </c>
      <c r="J32" s="287">
        <f>'Solution 1, (hidden) (2)'!R25</f>
        <v>203427.3374068306</v>
      </c>
      <c r="K32" s="287">
        <f>'Solution  2, (hidden) (2)'!R25</f>
        <v>620443.05859006732</v>
      </c>
      <c r="L32" s="30">
        <f>IF('4. Cash flow '!E32&lt;('2. Inputs and results'!$B$21+1),'Solution 1, (hidden)'!C25-'Solution 1, (hidden)'!M25," ")</f>
        <v>9620</v>
      </c>
      <c r="M32" s="30">
        <f>IF(E32&lt;('2. Inputs and results'!$C$21+1),'Solution  2, (hidden)'!C25-'Solution  2, (hidden)'!M25," ")</f>
        <v>22100</v>
      </c>
      <c r="N32" s="24">
        <f>IF('4. Cash flow '!E32&lt;('2. Inputs and results'!$B$21+1),'Solution 1, (hidden)'!G25+'Solution 1, (hidden)'!I25+'Solution 1, (hidden)'!H25+'Solution 1, (hidden)'!J25-'Solution 1, (hidden)'!M25," ")</f>
        <v>18255.179368263583</v>
      </c>
      <c r="O32" s="24">
        <f>IF(E32&lt;('2. Inputs and results'!$C$21+1),'Solution  2, (hidden)'!G25+'Solution  2, (hidden)'!I25+'Solution  2, (hidden)'!H25+'Solution  2, (hidden)'!J25-'Solution  2, (hidden)'!M25," ")</f>
        <v>40636.248905696695</v>
      </c>
      <c r="P32" s="24">
        <f>IF('4. Cash flow '!E32&lt;('2. Inputs and results'!$B$21+1),'Solution 1, (hidden) (2)'!G25+'Solution 1, (hidden) (2)'!I25+'Solution 1, (hidden) (2)'!H25+'Solution 1, (hidden) (2)'!J25-'Solution 1, (hidden) (2)'!M25," ")</f>
        <v>32833.370293923785</v>
      </c>
      <c r="Q32" s="24">
        <f>IF(E32&lt;('2. Inputs and results'!$C$21+1),'Solution  2, (hidden) (2)'!G25+'Solution  2, (hidden) (2)'!I25+'Solution  2, (hidden) (2)'!H25+'Solution  2, (hidden) (2)'!J25-'Solution  2, (hidden) (2)'!M25," ")</f>
        <v>71929.747751354735</v>
      </c>
    </row>
    <row r="33" spans="3:17" x14ac:dyDescent="0.25">
      <c r="C33" s="285" t="str">
        <f>'Solution 1, (hidden)'!B26</f>
        <v xml:space="preserve"> </v>
      </c>
      <c r="D33" s="285" t="str">
        <f>'Solution  2, (hidden)'!B26</f>
        <v xml:space="preserve"> </v>
      </c>
      <c r="E33" s="285" t="str">
        <f>IF('2. Inputs and results'!$C$21&gt;='2. Inputs and results'!$B$21,'Solution  2, (hidden)'!B26,'Solution 1, (hidden)'!B26)</f>
        <v xml:space="preserve"> </v>
      </c>
      <c r="F33" s="287" t="e">
        <f>'Solution 1, (hidden)'!W26</f>
        <v>#N/A</v>
      </c>
      <c r="G33" s="287" t="e">
        <f>'Solution  2, (hidden)'!W26</f>
        <v>#N/A</v>
      </c>
      <c r="H33" s="287" t="e">
        <f>'Solution 1, (hidden)'!R26</f>
        <v>#N/A</v>
      </c>
      <c r="I33" s="287" t="e">
        <f>'Solution  2, (hidden)'!R26</f>
        <v>#N/A</v>
      </c>
      <c r="J33" s="287" t="e">
        <f>'Solution 1, (hidden) (2)'!R26</f>
        <v>#N/A</v>
      </c>
      <c r="K33" s="287" t="e">
        <f>'Solution  2, (hidden) (2)'!R26</f>
        <v>#N/A</v>
      </c>
      <c r="L33" s="30" t="str">
        <f>IF('4. Cash flow '!E33&lt;('2. Inputs and results'!$B$21+1),'Solution 1, (hidden)'!C26-'Solution 1, (hidden)'!M26," ")</f>
        <v xml:space="preserve"> </v>
      </c>
      <c r="M33" s="30" t="str">
        <f>IF(E33&lt;('2. Inputs and results'!$C$21+1),'Solution  2, (hidden)'!C26-'Solution  2, (hidden)'!M26," ")</f>
        <v xml:space="preserve"> </v>
      </c>
      <c r="N33" s="24" t="str">
        <f>IF('4. Cash flow '!E33&lt;('2. Inputs and results'!$B$21+1),'Solution 1, (hidden)'!G26+'Solution 1, (hidden)'!I26+'Solution 1, (hidden)'!H26+'Solution 1, (hidden)'!J26-'Solution 1, (hidden)'!M26," ")</f>
        <v xml:space="preserve"> </v>
      </c>
      <c r="O33" s="24" t="str">
        <f>IF(E33&lt;('2. Inputs and results'!$C$21+1),'Solution  2, (hidden)'!G26+'Solution  2, (hidden)'!I26+'Solution  2, (hidden)'!H26+'Solution  2, (hidden)'!J26-'Solution  2, (hidden)'!M26," ")</f>
        <v xml:space="preserve"> </v>
      </c>
      <c r="P33" s="24" t="str">
        <f>IF('4. Cash flow '!E33&lt;('2. Inputs and results'!$B$21+1),'Solution 1, (hidden) (2)'!G26+'Solution 1, (hidden) (2)'!I26+'Solution 1, (hidden) (2)'!H26+'Solution 1, (hidden) (2)'!J26-'Solution 1, (hidden) (2)'!M26," ")</f>
        <v xml:space="preserve"> </v>
      </c>
      <c r="Q33" s="24" t="str">
        <f>IF(E33&lt;('2. Inputs and results'!$C$21+1),'Solution  2, (hidden) (2)'!G26+'Solution  2, (hidden) (2)'!I26+'Solution  2, (hidden) (2)'!H26+'Solution  2, (hidden) (2)'!J26-'Solution  2, (hidden) (2)'!M26," ")</f>
        <v xml:space="preserve"> </v>
      </c>
    </row>
    <row r="34" spans="3:17" x14ac:dyDescent="0.25">
      <c r="C34" s="285" t="str">
        <f>'Solution 1, (hidden)'!B27</f>
        <v xml:space="preserve"> </v>
      </c>
      <c r="D34" s="285" t="str">
        <f>'Solution  2, (hidden)'!B27</f>
        <v xml:space="preserve"> </v>
      </c>
      <c r="E34" s="285" t="str">
        <f>IF('2. Inputs and results'!$C$21&gt;='2. Inputs and results'!$B$21,'Solution  2, (hidden)'!B27,'Solution 1, (hidden)'!B27)</f>
        <v xml:space="preserve"> </v>
      </c>
      <c r="F34" s="287" t="e">
        <f>'Solution 1, (hidden)'!W27</f>
        <v>#N/A</v>
      </c>
      <c r="G34" s="287" t="e">
        <f>'Solution  2, (hidden)'!W27</f>
        <v>#N/A</v>
      </c>
      <c r="H34" s="287" t="e">
        <f>'Solution 1, (hidden)'!R27</f>
        <v>#N/A</v>
      </c>
      <c r="I34" s="287" t="e">
        <f>'Solution  2, (hidden)'!R27</f>
        <v>#N/A</v>
      </c>
      <c r="J34" s="287" t="e">
        <f>'Solution 1, (hidden) (2)'!R27</f>
        <v>#N/A</v>
      </c>
      <c r="K34" s="287" t="e">
        <f>'Solution  2, (hidden) (2)'!R27</f>
        <v>#N/A</v>
      </c>
      <c r="L34" s="30" t="str">
        <f>IF('4. Cash flow '!E34&lt;('2. Inputs and results'!$B$21+1),'Solution 1, (hidden)'!C27-'Solution 1, (hidden)'!M27," ")</f>
        <v xml:space="preserve"> </v>
      </c>
      <c r="M34" s="30" t="str">
        <f>IF(E34&lt;('2. Inputs and results'!$C$21+1),'Solution  2, (hidden)'!C27-'Solution  2, (hidden)'!M27," ")</f>
        <v xml:space="preserve"> </v>
      </c>
      <c r="N34" s="24" t="str">
        <f>IF('4. Cash flow '!E34&lt;('2. Inputs and results'!$B$21+1),'Solution 1, (hidden)'!G27+'Solution 1, (hidden)'!I27+'Solution 1, (hidden)'!H27+'Solution 1, (hidden)'!J27-'Solution 1, (hidden)'!M27," ")</f>
        <v xml:space="preserve"> </v>
      </c>
      <c r="O34" s="24" t="str">
        <f>IF(E34&lt;('2. Inputs and results'!$C$21+1),'Solution  2, (hidden)'!G27+'Solution  2, (hidden)'!I27+'Solution  2, (hidden)'!H27+'Solution  2, (hidden)'!J27-'Solution  2, (hidden)'!M27," ")</f>
        <v xml:space="preserve"> </v>
      </c>
      <c r="P34" s="24" t="str">
        <f>IF('4. Cash flow '!E34&lt;('2. Inputs and results'!$B$21+1),'Solution 1, (hidden) (2)'!G27+'Solution 1, (hidden) (2)'!I27+'Solution 1, (hidden) (2)'!H27+'Solution 1, (hidden) (2)'!J27-'Solution 1, (hidden) (2)'!M27," ")</f>
        <v xml:space="preserve"> </v>
      </c>
      <c r="Q34" s="24" t="str">
        <f>IF(E34&lt;('2. Inputs and results'!$C$21+1),'Solution  2, (hidden) (2)'!G27+'Solution  2, (hidden) (2)'!I27+'Solution  2, (hidden) (2)'!H27+'Solution  2, (hidden) (2)'!J27-'Solution  2, (hidden) (2)'!M27," ")</f>
        <v xml:space="preserve"> </v>
      </c>
    </row>
    <row r="35" spans="3:17" x14ac:dyDescent="0.25">
      <c r="C35" s="285" t="str">
        <f>'Solution 1, (hidden)'!B28</f>
        <v xml:space="preserve"> </v>
      </c>
      <c r="D35" s="285" t="str">
        <f>'Solution  2, (hidden)'!B28</f>
        <v xml:space="preserve"> </v>
      </c>
      <c r="E35" s="285" t="str">
        <f>IF('2. Inputs and results'!$C$21&gt;='2. Inputs and results'!$B$21,'Solution  2, (hidden)'!B28,'Solution 1, (hidden)'!B28)</f>
        <v xml:space="preserve"> </v>
      </c>
      <c r="F35" s="287" t="e">
        <f>'Solution 1, (hidden)'!W28</f>
        <v>#N/A</v>
      </c>
      <c r="G35" s="287" t="e">
        <f>'Solution  2, (hidden)'!W28</f>
        <v>#N/A</v>
      </c>
      <c r="H35" s="287" t="e">
        <f>'Solution 1, (hidden)'!R28</f>
        <v>#N/A</v>
      </c>
      <c r="I35" s="287" t="e">
        <f>'Solution  2, (hidden)'!R28</f>
        <v>#N/A</v>
      </c>
      <c r="J35" s="287" t="e">
        <f>'Solution 1, (hidden) (2)'!R28</f>
        <v>#N/A</v>
      </c>
      <c r="K35" s="287" t="e">
        <f>'Solution  2, (hidden) (2)'!R28</f>
        <v>#N/A</v>
      </c>
      <c r="L35" s="30" t="str">
        <f>IF('4. Cash flow '!E35&lt;('2. Inputs and results'!$B$21+1),'Solution 1, (hidden)'!C28-'Solution 1, (hidden)'!M28," ")</f>
        <v xml:space="preserve"> </v>
      </c>
      <c r="M35" s="30" t="str">
        <f>IF(E35&lt;('2. Inputs and results'!$C$21+1),'Solution  2, (hidden)'!C28-'Solution  2, (hidden)'!M28," ")</f>
        <v xml:space="preserve"> </v>
      </c>
      <c r="N35" s="24" t="str">
        <f>IF('4. Cash flow '!E35&lt;('2. Inputs and results'!$B$21+1),'Solution 1, (hidden)'!G28+'Solution 1, (hidden)'!I28+'Solution 1, (hidden)'!H28+'Solution 1, (hidden)'!J28-'Solution 1, (hidden)'!M28," ")</f>
        <v xml:space="preserve"> </v>
      </c>
      <c r="O35" s="24" t="str">
        <f>IF(E35&lt;('2. Inputs and results'!$C$21+1),'Solution  2, (hidden)'!G28+'Solution  2, (hidden)'!I28+'Solution  2, (hidden)'!H28+'Solution  2, (hidden)'!J28-'Solution  2, (hidden)'!M28," ")</f>
        <v xml:space="preserve"> </v>
      </c>
      <c r="P35" s="24" t="str">
        <f>IF('4. Cash flow '!E35&lt;('2. Inputs and results'!$B$21+1),'Solution 1, (hidden) (2)'!G28+'Solution 1, (hidden) (2)'!I28+'Solution 1, (hidden) (2)'!H28+'Solution 1, (hidden) (2)'!J28-'Solution 1, (hidden) (2)'!M28," ")</f>
        <v xml:space="preserve"> </v>
      </c>
      <c r="Q35" s="24" t="str">
        <f>IF(E35&lt;('2. Inputs and results'!$C$21+1),'Solution  2, (hidden) (2)'!G28+'Solution  2, (hidden) (2)'!I28+'Solution  2, (hidden) (2)'!H28+'Solution  2, (hidden) (2)'!J28-'Solution  2, (hidden) (2)'!M28," ")</f>
        <v xml:space="preserve"> </v>
      </c>
    </row>
    <row r="36" spans="3:17" x14ac:dyDescent="0.25">
      <c r="C36" s="285" t="str">
        <f>'Solution 1, (hidden)'!B29</f>
        <v xml:space="preserve"> </v>
      </c>
      <c r="D36" s="285" t="str">
        <f>'Solution  2, (hidden)'!B29</f>
        <v xml:space="preserve"> </v>
      </c>
      <c r="E36" s="285" t="str">
        <f>IF('2. Inputs and results'!$C$21&gt;='2. Inputs and results'!$B$21,'Solution  2, (hidden)'!B29,'Solution 1, (hidden)'!B29)</f>
        <v xml:space="preserve"> </v>
      </c>
      <c r="F36" s="287" t="e">
        <f>'Solution 1, (hidden)'!W29</f>
        <v>#N/A</v>
      </c>
      <c r="G36" s="287" t="e">
        <f>'Solution  2, (hidden)'!W29</f>
        <v>#N/A</v>
      </c>
      <c r="H36" s="287" t="e">
        <f>'Solution 1, (hidden)'!R29</f>
        <v>#N/A</v>
      </c>
      <c r="I36" s="287" t="e">
        <f>'Solution  2, (hidden)'!R29</f>
        <v>#N/A</v>
      </c>
      <c r="J36" s="287" t="e">
        <f>'Solution 1, (hidden) (2)'!R29</f>
        <v>#N/A</v>
      </c>
      <c r="K36" s="287" t="e">
        <f>'Solution  2, (hidden) (2)'!R29</f>
        <v>#N/A</v>
      </c>
      <c r="L36" s="30" t="str">
        <f>IF('4. Cash flow '!E36&lt;('2. Inputs and results'!$B$21+1),'Solution 1, (hidden)'!C29-'Solution 1, (hidden)'!M29," ")</f>
        <v xml:space="preserve"> </v>
      </c>
      <c r="M36" s="30" t="str">
        <f>IF(E36&lt;('2. Inputs and results'!$C$21+1),'Solution  2, (hidden)'!C29-'Solution  2, (hidden)'!M29," ")</f>
        <v xml:space="preserve"> </v>
      </c>
      <c r="N36" s="24" t="str">
        <f>IF('4. Cash flow '!E36&lt;('2. Inputs and results'!$B$21+1),'Solution 1, (hidden)'!G29+'Solution 1, (hidden)'!I29+'Solution 1, (hidden)'!H29+'Solution 1, (hidden)'!J29-'Solution 1, (hidden)'!M29," ")</f>
        <v xml:space="preserve"> </v>
      </c>
      <c r="O36" s="24" t="str">
        <f>IF(E36&lt;('2. Inputs and results'!$C$21+1),'Solution  2, (hidden)'!G29+'Solution  2, (hidden)'!I29+'Solution  2, (hidden)'!H29+'Solution  2, (hidden)'!J29-'Solution  2, (hidden)'!M29," ")</f>
        <v xml:space="preserve"> </v>
      </c>
      <c r="P36" s="24" t="str">
        <f>IF('4. Cash flow '!E36&lt;('2. Inputs and results'!$B$21+1),'Solution 1, (hidden) (2)'!G29+'Solution 1, (hidden) (2)'!I29+'Solution 1, (hidden) (2)'!H29+'Solution 1, (hidden) (2)'!J29-'Solution 1, (hidden) (2)'!M29," ")</f>
        <v xml:space="preserve"> </v>
      </c>
      <c r="Q36" s="24" t="str">
        <f>IF(E36&lt;('2. Inputs and results'!$C$21+1),'Solution  2, (hidden) (2)'!G29+'Solution  2, (hidden) (2)'!I29+'Solution  2, (hidden) (2)'!H29+'Solution  2, (hidden) (2)'!J29-'Solution  2, (hidden) (2)'!M29," ")</f>
        <v xml:space="preserve"> </v>
      </c>
    </row>
    <row r="37" spans="3:17" x14ac:dyDescent="0.25">
      <c r="C37" s="285" t="str">
        <f>'Solution 1, (hidden)'!B30</f>
        <v xml:space="preserve"> </v>
      </c>
      <c r="D37" s="285" t="str">
        <f>'Solution  2, (hidden)'!B30</f>
        <v xml:space="preserve"> </v>
      </c>
      <c r="E37" s="285" t="str">
        <f>IF('2. Inputs and results'!$C$21&gt;='2. Inputs and results'!$B$21,'Solution  2, (hidden)'!B30,'Solution 1, (hidden)'!B30)</f>
        <v xml:space="preserve"> </v>
      </c>
      <c r="F37" s="287" t="e">
        <f>'Solution 1, (hidden)'!W30</f>
        <v>#N/A</v>
      </c>
      <c r="G37" s="287" t="e">
        <f>'Solution  2, (hidden)'!W30</f>
        <v>#N/A</v>
      </c>
      <c r="H37" s="287" t="e">
        <f>'Solution 1, (hidden)'!R30</f>
        <v>#N/A</v>
      </c>
      <c r="I37" s="287" t="e">
        <f>'Solution  2, (hidden)'!R30</f>
        <v>#N/A</v>
      </c>
      <c r="J37" s="287" t="e">
        <f>'Solution 1, (hidden) (2)'!R30</f>
        <v>#N/A</v>
      </c>
      <c r="K37" s="287" t="e">
        <f>'Solution  2, (hidden) (2)'!R30</f>
        <v>#N/A</v>
      </c>
      <c r="L37" s="30" t="str">
        <f>IF('4. Cash flow '!E37&lt;('2. Inputs and results'!$B$21+1),'Solution 1, (hidden)'!C30-'Solution 1, (hidden)'!M30," ")</f>
        <v xml:space="preserve"> </v>
      </c>
      <c r="M37" s="30" t="str">
        <f>IF(E37&lt;('2. Inputs and results'!$C$21+1),'Solution  2, (hidden)'!C30-'Solution  2, (hidden)'!M30," ")</f>
        <v xml:space="preserve"> </v>
      </c>
      <c r="N37" s="24" t="str">
        <f>IF('4. Cash flow '!E37&lt;('2. Inputs and results'!$B$21+1),'Solution 1, (hidden)'!G30+'Solution 1, (hidden)'!I30+'Solution 1, (hidden)'!H30+'Solution 1, (hidden)'!J30-'Solution 1, (hidden)'!M30," ")</f>
        <v xml:space="preserve"> </v>
      </c>
      <c r="O37" s="24" t="str">
        <f>IF(E37&lt;('2. Inputs and results'!$C$21+1),'Solution  2, (hidden)'!G30+'Solution  2, (hidden)'!I30+'Solution  2, (hidden)'!H30+'Solution  2, (hidden)'!J30-'Solution  2, (hidden)'!M30," ")</f>
        <v xml:space="preserve"> </v>
      </c>
      <c r="P37" s="24" t="str">
        <f>IF('4. Cash flow '!E37&lt;('2. Inputs and results'!$B$21+1),'Solution 1, (hidden) (2)'!G30+'Solution 1, (hidden) (2)'!I30+'Solution 1, (hidden) (2)'!H30+'Solution 1, (hidden) (2)'!J30-'Solution 1, (hidden) (2)'!M30," ")</f>
        <v xml:space="preserve"> </v>
      </c>
      <c r="Q37" s="24" t="str">
        <f>IF(E37&lt;('2. Inputs and results'!$C$21+1),'Solution  2, (hidden) (2)'!G30+'Solution  2, (hidden) (2)'!I30+'Solution  2, (hidden) (2)'!H30+'Solution  2, (hidden) (2)'!J30-'Solution  2, (hidden) (2)'!M30," ")</f>
        <v xml:space="preserve"> </v>
      </c>
    </row>
    <row r="38" spans="3:17" x14ac:dyDescent="0.25">
      <c r="C38" s="285" t="str">
        <f>'Solution 1, (hidden)'!B31</f>
        <v xml:space="preserve"> </v>
      </c>
      <c r="D38" s="285" t="str">
        <f>'Solution  2, (hidden)'!B31</f>
        <v xml:space="preserve"> </v>
      </c>
      <c r="E38" s="285" t="str">
        <f>IF('2. Inputs and results'!$C$21&gt;='2. Inputs and results'!$B$21,'Solution  2, (hidden)'!B31,'Solution 1, (hidden)'!B31)</f>
        <v xml:space="preserve"> </v>
      </c>
      <c r="F38" s="287" t="e">
        <f>'Solution 1, (hidden)'!W31</f>
        <v>#N/A</v>
      </c>
      <c r="G38" s="287" t="e">
        <f>'Solution  2, (hidden)'!W31</f>
        <v>#N/A</v>
      </c>
      <c r="H38" s="287" t="e">
        <f>'Solution 1, (hidden)'!R31</f>
        <v>#N/A</v>
      </c>
      <c r="I38" s="287" t="e">
        <f>'Solution  2, (hidden)'!R31</f>
        <v>#N/A</v>
      </c>
      <c r="J38" s="287" t="e">
        <f>'Solution 1, (hidden) (2)'!R31</f>
        <v>#N/A</v>
      </c>
      <c r="K38" s="287" t="e">
        <f>'Solution  2, (hidden) (2)'!R31</f>
        <v>#N/A</v>
      </c>
      <c r="L38" s="30" t="str">
        <f>IF('4. Cash flow '!E38&lt;('2. Inputs and results'!$B$21+1),'Solution 1, (hidden)'!C31-'Solution 1, (hidden)'!M31," ")</f>
        <v xml:space="preserve"> </v>
      </c>
      <c r="M38" s="30" t="str">
        <f>IF(E38&lt;('2. Inputs and results'!$C$21+1),'Solution  2, (hidden)'!C31-'Solution  2, (hidden)'!M31," ")</f>
        <v xml:space="preserve"> </v>
      </c>
      <c r="N38" s="24" t="str">
        <f>IF('4. Cash flow '!E38&lt;('2. Inputs and results'!$B$21+1),'Solution 1, (hidden)'!G31+'Solution 1, (hidden)'!I31+'Solution 1, (hidden)'!H31+'Solution 1, (hidden)'!J31-'Solution 1, (hidden)'!M31," ")</f>
        <v xml:space="preserve"> </v>
      </c>
      <c r="O38" s="24" t="str">
        <f>IF(E38&lt;('2. Inputs and results'!$C$21+1),'Solution  2, (hidden)'!G31+'Solution  2, (hidden)'!I31+'Solution  2, (hidden)'!H31+'Solution  2, (hidden)'!J31-'Solution  2, (hidden)'!M31," ")</f>
        <v xml:space="preserve"> </v>
      </c>
      <c r="P38" s="24" t="str">
        <f>IF('4. Cash flow '!E38&lt;('2. Inputs and results'!$B$21+1),'Solution 1, (hidden) (2)'!G31+'Solution 1, (hidden) (2)'!I31+'Solution 1, (hidden) (2)'!H31+'Solution 1, (hidden) (2)'!J31-'Solution 1, (hidden) (2)'!M31," ")</f>
        <v xml:space="preserve"> </v>
      </c>
      <c r="Q38" s="24" t="str">
        <f>IF(E38&lt;('2. Inputs and results'!$C$21+1),'Solution  2, (hidden) (2)'!G31+'Solution  2, (hidden) (2)'!I31+'Solution  2, (hidden) (2)'!H31+'Solution  2, (hidden) (2)'!J31-'Solution  2, (hidden) (2)'!M31," ")</f>
        <v xml:space="preserve"> </v>
      </c>
    </row>
    <row r="39" spans="3:17" x14ac:dyDescent="0.25">
      <c r="C39" s="285" t="str">
        <f>'Solution 1, (hidden)'!B32</f>
        <v xml:space="preserve"> </v>
      </c>
      <c r="D39" s="285" t="str">
        <f>'Solution  2, (hidden)'!B32</f>
        <v xml:space="preserve"> </v>
      </c>
      <c r="E39" s="285" t="str">
        <f>IF('2. Inputs and results'!$C$21&gt;='2. Inputs and results'!$B$21,'Solution  2, (hidden)'!B32,'Solution 1, (hidden)'!B32)</f>
        <v xml:space="preserve"> </v>
      </c>
      <c r="F39" s="287" t="e">
        <f>'Solution 1, (hidden)'!W32</f>
        <v>#N/A</v>
      </c>
      <c r="G39" s="287" t="e">
        <f>'Solution  2, (hidden)'!W32</f>
        <v>#N/A</v>
      </c>
      <c r="H39" s="287" t="e">
        <f>'Solution 1, (hidden)'!R32</f>
        <v>#N/A</v>
      </c>
      <c r="I39" s="287" t="e">
        <f>'Solution  2, (hidden)'!R32</f>
        <v>#N/A</v>
      </c>
      <c r="J39" s="287" t="e">
        <f>'Solution 1, (hidden) (2)'!R32</f>
        <v>#N/A</v>
      </c>
      <c r="K39" s="287" t="e">
        <f>'Solution  2, (hidden) (2)'!R32</f>
        <v>#N/A</v>
      </c>
      <c r="L39" s="30" t="str">
        <f>IF('4. Cash flow '!E39&lt;('2. Inputs and results'!$B$21+1),'Solution 1, (hidden)'!C32-'Solution 1, (hidden)'!M32," ")</f>
        <v xml:space="preserve"> </v>
      </c>
      <c r="M39" s="30" t="str">
        <f>IF(E39&lt;('2. Inputs and results'!$C$21+1),'Solution  2, (hidden)'!C32-'Solution  2, (hidden)'!M32," ")</f>
        <v xml:space="preserve"> </v>
      </c>
      <c r="N39" s="24" t="str">
        <f>IF('4. Cash flow '!E39&lt;('2. Inputs and results'!$B$21+1),'Solution 1, (hidden)'!G32+'Solution 1, (hidden)'!I32+'Solution 1, (hidden)'!H32+'Solution 1, (hidden)'!J32-'Solution 1, (hidden)'!M32," ")</f>
        <v xml:space="preserve"> </v>
      </c>
      <c r="O39" s="24" t="str">
        <f>IF(E39&lt;('2. Inputs and results'!$C$21+1),'Solution  2, (hidden)'!G32+'Solution  2, (hidden)'!I32+'Solution  2, (hidden)'!H32+'Solution  2, (hidden)'!J32-'Solution  2, (hidden)'!M32," ")</f>
        <v xml:space="preserve"> </v>
      </c>
      <c r="P39" s="24" t="str">
        <f>IF('4. Cash flow '!E39&lt;('2. Inputs and results'!$B$21+1),'Solution 1, (hidden) (2)'!G32+'Solution 1, (hidden) (2)'!I32+'Solution 1, (hidden) (2)'!H32+'Solution 1, (hidden) (2)'!J32-'Solution 1, (hidden) (2)'!M32," ")</f>
        <v xml:space="preserve"> </v>
      </c>
      <c r="Q39" s="24" t="str">
        <f>IF(E39&lt;('2. Inputs and results'!$C$21+1),'Solution  2, (hidden) (2)'!G32+'Solution  2, (hidden) (2)'!I32+'Solution  2, (hidden) (2)'!H32+'Solution  2, (hidden) (2)'!J32-'Solution  2, (hidden) (2)'!M32," ")</f>
        <v xml:space="preserve"> </v>
      </c>
    </row>
    <row r="40" spans="3:17" x14ac:dyDescent="0.25">
      <c r="C40" s="285" t="str">
        <f>'Solution 1, (hidden)'!B33</f>
        <v xml:space="preserve"> </v>
      </c>
      <c r="D40" s="285" t="str">
        <f>'Solution  2, (hidden)'!B33</f>
        <v xml:space="preserve"> </v>
      </c>
      <c r="E40" s="285" t="str">
        <f>IF('2. Inputs and results'!$C$21&gt;='2. Inputs and results'!$B$21,'Solution  2, (hidden)'!B33,'Solution 1, (hidden)'!B33)</f>
        <v xml:space="preserve"> </v>
      </c>
      <c r="F40" s="287" t="e">
        <f>'Solution 1, (hidden)'!W33</f>
        <v>#N/A</v>
      </c>
      <c r="G40" s="287" t="e">
        <f>'Solution  2, (hidden)'!W33</f>
        <v>#N/A</v>
      </c>
      <c r="H40" s="287" t="e">
        <f>'Solution 1, (hidden)'!R33</f>
        <v>#N/A</v>
      </c>
      <c r="I40" s="287" t="e">
        <f>'Solution  2, (hidden)'!R33</f>
        <v>#N/A</v>
      </c>
      <c r="J40" s="287" t="e">
        <f>'Solution 1, (hidden) (2)'!R33</f>
        <v>#N/A</v>
      </c>
      <c r="K40" s="287" t="e">
        <f>'Solution  2, (hidden) (2)'!R33</f>
        <v>#N/A</v>
      </c>
      <c r="L40" s="30" t="str">
        <f>IF('4. Cash flow '!E40&lt;('2. Inputs and results'!$B$21+1),'Solution 1, (hidden)'!C33-'Solution 1, (hidden)'!M33," ")</f>
        <v xml:space="preserve"> </v>
      </c>
      <c r="M40" s="30" t="str">
        <f>IF(E40&lt;('2. Inputs and results'!$C$21+1),'Solution  2, (hidden)'!C33-'Solution  2, (hidden)'!M33," ")</f>
        <v xml:space="preserve"> </v>
      </c>
      <c r="N40" s="24" t="str">
        <f>IF('4. Cash flow '!E40&lt;('2. Inputs and results'!$B$21+1),'Solution 1, (hidden)'!G33+'Solution 1, (hidden)'!I33+'Solution 1, (hidden)'!H33+'Solution 1, (hidden)'!J33-'Solution 1, (hidden)'!M33," ")</f>
        <v xml:space="preserve"> </v>
      </c>
      <c r="O40" s="24" t="str">
        <f>IF(E40&lt;('2. Inputs and results'!$C$21+1),'Solution  2, (hidden)'!G33+'Solution  2, (hidden)'!I33+'Solution  2, (hidden)'!H33+'Solution  2, (hidden)'!J33-'Solution  2, (hidden)'!M33," ")</f>
        <v xml:space="preserve"> </v>
      </c>
      <c r="P40" s="24" t="str">
        <f>IF('4. Cash flow '!E40&lt;('2. Inputs and results'!$B$21+1),'Solution 1, (hidden) (2)'!G33+'Solution 1, (hidden) (2)'!I33+'Solution 1, (hidden) (2)'!H33+'Solution 1, (hidden) (2)'!J33-'Solution 1, (hidden) (2)'!M33," ")</f>
        <v xml:space="preserve"> </v>
      </c>
      <c r="Q40" s="24" t="str">
        <f>IF(E40&lt;('2. Inputs and results'!$C$21+1),'Solution  2, (hidden) (2)'!G33+'Solution  2, (hidden) (2)'!I33+'Solution  2, (hidden) (2)'!H33+'Solution  2, (hidden) (2)'!J33-'Solution  2, (hidden) (2)'!M33," ")</f>
        <v xml:space="preserve"> </v>
      </c>
    </row>
    <row r="41" spans="3:17" x14ac:dyDescent="0.25">
      <c r="C41" s="285" t="str">
        <f>'Solution 1, (hidden)'!B34</f>
        <v xml:space="preserve"> </v>
      </c>
      <c r="D41" s="285" t="str">
        <f>'Solution  2, (hidden)'!B34</f>
        <v xml:space="preserve"> </v>
      </c>
      <c r="E41" s="285" t="str">
        <f>IF('2. Inputs and results'!$C$21&gt;='2. Inputs and results'!$B$21,'Solution  2, (hidden)'!B34,'Solution 1, (hidden)'!B34)</f>
        <v xml:space="preserve"> </v>
      </c>
      <c r="F41" s="287" t="e">
        <f>'Solution 1, (hidden)'!W34</f>
        <v>#N/A</v>
      </c>
      <c r="G41" s="287" t="e">
        <f>'Solution  2, (hidden)'!W34</f>
        <v>#N/A</v>
      </c>
      <c r="H41" s="287" t="e">
        <f>'Solution 1, (hidden)'!R34</f>
        <v>#N/A</v>
      </c>
      <c r="I41" s="287" t="e">
        <f>'Solution  2, (hidden)'!R34</f>
        <v>#N/A</v>
      </c>
      <c r="J41" s="287" t="e">
        <f>'Solution 1, (hidden) (2)'!R34</f>
        <v>#N/A</v>
      </c>
      <c r="K41" s="287" t="e">
        <f>'Solution  2, (hidden) (2)'!R34</f>
        <v>#N/A</v>
      </c>
      <c r="L41" s="30" t="str">
        <f>IF('4. Cash flow '!E41&lt;('2. Inputs and results'!$B$21+1),'Solution 1, (hidden)'!C34-'Solution 1, (hidden)'!M34," ")</f>
        <v xml:space="preserve"> </v>
      </c>
      <c r="M41" s="30" t="str">
        <f>IF(E41&lt;('2. Inputs and results'!$C$21+1),'Solution  2, (hidden)'!C34-'Solution  2, (hidden)'!M34," ")</f>
        <v xml:space="preserve"> </v>
      </c>
      <c r="N41" s="24" t="str">
        <f>IF('4. Cash flow '!E41&lt;('2. Inputs and results'!$B$21+1),'Solution 1, (hidden)'!G34+'Solution 1, (hidden)'!I34+'Solution 1, (hidden)'!H34+'Solution 1, (hidden)'!J34-'Solution 1, (hidden)'!M34," ")</f>
        <v xml:space="preserve"> </v>
      </c>
      <c r="O41" s="24" t="str">
        <f>IF(E41&lt;('2. Inputs and results'!$C$21+1),'Solution  2, (hidden)'!G34+'Solution  2, (hidden)'!I34+'Solution  2, (hidden)'!H34+'Solution  2, (hidden)'!J34-'Solution  2, (hidden)'!M34," ")</f>
        <v xml:space="preserve"> </v>
      </c>
      <c r="P41" s="24" t="str">
        <f>IF('4. Cash flow '!E41&lt;('2. Inputs and results'!$B$21+1),'Solution 1, (hidden) (2)'!G34+'Solution 1, (hidden) (2)'!I34+'Solution 1, (hidden) (2)'!H34+'Solution 1, (hidden) (2)'!J34-'Solution 1, (hidden) (2)'!M34," ")</f>
        <v xml:space="preserve"> </v>
      </c>
      <c r="Q41" s="24" t="str">
        <f>IF(E41&lt;('2. Inputs and results'!$C$21+1),'Solution  2, (hidden) (2)'!G34+'Solution  2, (hidden) (2)'!I34+'Solution  2, (hidden) (2)'!H34+'Solution  2, (hidden) (2)'!J34-'Solution  2, (hidden) (2)'!M34," ")</f>
        <v xml:space="preserve"> </v>
      </c>
    </row>
    <row r="42" spans="3:17" x14ac:dyDescent="0.25">
      <c r="C42" s="285" t="str">
        <f>'Solution 1, (hidden)'!B35</f>
        <v xml:space="preserve"> </v>
      </c>
      <c r="D42" s="285" t="str">
        <f>'Solution  2, (hidden)'!B35</f>
        <v xml:space="preserve"> </v>
      </c>
      <c r="E42" s="285" t="str">
        <f>IF('2. Inputs and results'!$C$21&gt;='2. Inputs and results'!$B$21,'Solution  2, (hidden)'!B35,'Solution 1, (hidden)'!B35)</f>
        <v xml:space="preserve"> </v>
      </c>
      <c r="F42" s="287" t="e">
        <f>'Solution 1, (hidden)'!W35</f>
        <v>#N/A</v>
      </c>
      <c r="G42" s="287" t="e">
        <f>'Solution  2, (hidden)'!W35</f>
        <v>#N/A</v>
      </c>
      <c r="H42" s="287" t="e">
        <f>'Solution 1, (hidden)'!R35</f>
        <v>#N/A</v>
      </c>
      <c r="I42" s="287" t="e">
        <f>'Solution  2, (hidden)'!R35</f>
        <v>#N/A</v>
      </c>
      <c r="J42" s="287" t="e">
        <f>'Solution 1, (hidden) (2)'!R35</f>
        <v>#N/A</v>
      </c>
      <c r="K42" s="287" t="e">
        <f>'Solution  2, (hidden) (2)'!R35</f>
        <v>#N/A</v>
      </c>
      <c r="L42" s="30" t="str">
        <f>IF('4. Cash flow '!E42&lt;('2. Inputs and results'!$B$21+1),'Solution 1, (hidden)'!C35-'Solution 1, (hidden)'!M35," ")</f>
        <v xml:space="preserve"> </v>
      </c>
      <c r="M42" s="30" t="str">
        <f>IF(E42&lt;('2. Inputs and results'!$C$21+1),'Solution  2, (hidden)'!C35-'Solution  2, (hidden)'!M35," ")</f>
        <v xml:space="preserve"> </v>
      </c>
      <c r="N42" s="24" t="str">
        <f>IF('4. Cash flow '!E42&lt;('2. Inputs and results'!$B$21+1),'Solution 1, (hidden)'!G35+'Solution 1, (hidden)'!I35+'Solution 1, (hidden)'!H35+'Solution 1, (hidden)'!J35-'Solution 1, (hidden)'!M35," ")</f>
        <v xml:space="preserve"> </v>
      </c>
      <c r="O42" s="24" t="str">
        <f>IF(E42&lt;('2. Inputs and results'!$C$21+1),'Solution  2, (hidden)'!G35+'Solution  2, (hidden)'!I35+'Solution  2, (hidden)'!H35+'Solution  2, (hidden)'!J35-'Solution  2, (hidden)'!M35," ")</f>
        <v xml:space="preserve"> </v>
      </c>
      <c r="P42" s="24" t="str">
        <f>IF('4. Cash flow '!E42&lt;('2. Inputs and results'!$B$21+1),'Solution 1, (hidden) (2)'!G35+'Solution 1, (hidden) (2)'!I35+'Solution 1, (hidden) (2)'!H35+'Solution 1, (hidden) (2)'!J35-'Solution 1, (hidden) (2)'!M35," ")</f>
        <v xml:space="preserve"> </v>
      </c>
      <c r="Q42" s="24" t="str">
        <f>IF(E42&lt;('2. Inputs and results'!$C$21+1),'Solution  2, (hidden) (2)'!G35+'Solution  2, (hidden) (2)'!I35+'Solution  2, (hidden) (2)'!H35+'Solution  2, (hidden) (2)'!J35-'Solution  2, (hidden) (2)'!M35," ")</f>
        <v xml:space="preserve"> </v>
      </c>
    </row>
    <row r="43" spans="3:17" x14ac:dyDescent="0.25">
      <c r="C43" s="285" t="str">
        <f>'Solution 1, (hidden)'!B36</f>
        <v xml:space="preserve"> </v>
      </c>
      <c r="D43" s="285" t="str">
        <f>'Solution  2, (hidden)'!B36</f>
        <v xml:space="preserve"> </v>
      </c>
      <c r="E43" s="285" t="str">
        <f>IF('2. Inputs and results'!$C$21&gt;='2. Inputs and results'!$B$21,'Solution  2, (hidden)'!B36,'Solution 1, (hidden)'!B36)</f>
        <v xml:space="preserve"> </v>
      </c>
      <c r="F43" s="288" t="e">
        <f>'Solution 1, (hidden)'!W36</f>
        <v>#N/A</v>
      </c>
      <c r="G43" s="288" t="e">
        <f>'Solution  2, (hidden)'!W36</f>
        <v>#N/A</v>
      </c>
      <c r="H43" s="288" t="e">
        <f>'Solution 1, (hidden)'!R36</f>
        <v>#N/A</v>
      </c>
      <c r="I43" s="288" t="e">
        <f>'Solution  2, (hidden)'!R36</f>
        <v>#N/A</v>
      </c>
      <c r="J43" s="287" t="e">
        <f>'Solution 1, (hidden) (2)'!R36</f>
        <v>#N/A</v>
      </c>
      <c r="K43" s="287" t="e">
        <f>'Solution  2, (hidden) (2)'!R36</f>
        <v>#N/A</v>
      </c>
      <c r="L43" s="30" t="str">
        <f>IF('4. Cash flow '!E43&lt;('2. Inputs and results'!$B$21+1),'Solution 1, (hidden)'!C36-'Solution 1, (hidden)'!M36," ")</f>
        <v xml:space="preserve"> </v>
      </c>
      <c r="M43" s="30" t="str">
        <f>IF(E43&lt;('2. Inputs and results'!$C$21+1),'Solution  2, (hidden)'!C36-'Solution  2, (hidden)'!M36," ")</f>
        <v xml:space="preserve"> </v>
      </c>
      <c r="N43" s="24" t="str">
        <f>IF('4. Cash flow '!E43&lt;('2. Inputs and results'!$B$21+1),'Solution 1, (hidden)'!G36+'Solution 1, (hidden)'!I36+'Solution 1, (hidden)'!H36+'Solution 1, (hidden)'!J36-'Solution 1, (hidden)'!M36," ")</f>
        <v xml:space="preserve"> </v>
      </c>
      <c r="O43" s="24" t="str">
        <f>IF(E43&lt;('2. Inputs and results'!$C$21+1),'Solution  2, (hidden)'!G36+'Solution  2, (hidden)'!I36+'Solution  2, (hidden)'!H36+'Solution  2, (hidden)'!J36-'Solution  2, (hidden)'!M36," ")</f>
        <v xml:space="preserve"> </v>
      </c>
      <c r="P43" s="24" t="str">
        <f>IF('4. Cash flow '!E43&lt;('2. Inputs and results'!$B$21+1),'Solution 1, (hidden) (2)'!G36+'Solution 1, (hidden) (2)'!I36+'Solution 1, (hidden) (2)'!H36+'Solution 1, (hidden) (2)'!J36-'Solution 1, (hidden) (2)'!M36," ")</f>
        <v xml:space="preserve"> </v>
      </c>
      <c r="Q43" s="24" t="str">
        <f>IF(E43&lt;('2. Inputs and results'!$C$21+1),'Solution  2, (hidden) (2)'!G36+'Solution  2, (hidden) (2)'!I36+'Solution  2, (hidden) (2)'!H36+'Solution  2, (hidden) (2)'!J36-'Solution  2, (hidden) (2)'!M36," ")</f>
        <v xml:space="preserve"> </v>
      </c>
    </row>
    <row r="44" spans="3:17" x14ac:dyDescent="0.25">
      <c r="C44" s="285" t="str">
        <f>'Solution 1, (hidden)'!B37</f>
        <v xml:space="preserve"> </v>
      </c>
      <c r="D44" s="285" t="str">
        <f>'Solution  2, (hidden)'!B37</f>
        <v xml:space="preserve"> </v>
      </c>
      <c r="E44" s="285" t="str">
        <f>IF('2. Inputs and results'!$C$21&gt;='2. Inputs and results'!$B$21,'Solution  2, (hidden)'!B37,'Solution 1, (hidden)'!B37)</f>
        <v xml:space="preserve"> </v>
      </c>
      <c r="F44" s="288" t="e">
        <f>'Solution 1, (hidden)'!W37</f>
        <v>#N/A</v>
      </c>
      <c r="G44" s="288" t="e">
        <f>'Solution  2, (hidden)'!W37</f>
        <v>#N/A</v>
      </c>
      <c r="H44" s="288" t="e">
        <f>'Solution 1, (hidden)'!R37</f>
        <v>#N/A</v>
      </c>
      <c r="I44" s="288" t="e">
        <f>'Solution  2, (hidden)'!R37</f>
        <v>#N/A</v>
      </c>
      <c r="J44" s="287" t="e">
        <f>'Solution 1, (hidden) (2)'!R37</f>
        <v>#N/A</v>
      </c>
      <c r="K44" s="287" t="e">
        <f>'Solution  2, (hidden) (2)'!R37</f>
        <v>#N/A</v>
      </c>
      <c r="L44" s="30" t="str">
        <f>IF('4. Cash flow '!E44&lt;('2. Inputs and results'!$B$21+1),'Solution 1, (hidden)'!C37-'Solution 1, (hidden)'!M37," ")</f>
        <v xml:space="preserve"> </v>
      </c>
      <c r="M44" s="30" t="str">
        <f>IF(E44&lt;('2. Inputs and results'!$C$21+1),'Solution  2, (hidden)'!C37-'Solution  2, (hidden)'!M37," ")</f>
        <v xml:space="preserve"> </v>
      </c>
      <c r="N44" s="24" t="str">
        <f>IF('4. Cash flow '!E44&lt;('2. Inputs and results'!$B$21+1),'Solution 1, (hidden)'!G37+'Solution 1, (hidden)'!I37+'Solution 1, (hidden)'!H37+'Solution 1, (hidden)'!J37-'Solution 1, (hidden)'!M37," ")</f>
        <v xml:space="preserve"> </v>
      </c>
      <c r="O44" s="24" t="str">
        <f>IF(E44&lt;('2. Inputs and results'!$C$21+1),'Solution  2, (hidden)'!G37+'Solution  2, (hidden)'!I37+'Solution  2, (hidden)'!H37+'Solution  2, (hidden)'!J37-'Solution  2, (hidden)'!M37," ")</f>
        <v xml:space="preserve"> </v>
      </c>
      <c r="P44" s="24" t="str">
        <f>IF('4. Cash flow '!E44&lt;('2. Inputs and results'!$B$21+1),'Solution 1, (hidden) (2)'!G37+'Solution 1, (hidden) (2)'!I37+'Solution 1, (hidden) (2)'!H37+'Solution 1, (hidden) (2)'!J37-'Solution 1, (hidden) (2)'!M37," ")</f>
        <v xml:space="preserve"> </v>
      </c>
      <c r="Q44" s="24" t="str">
        <f>IF(E44&lt;('2. Inputs and results'!$C$21+1),'Solution  2, (hidden) (2)'!G37+'Solution  2, (hidden) (2)'!I37+'Solution  2, (hidden) (2)'!H37+'Solution  2, (hidden) (2)'!J37-'Solution  2, (hidden) (2)'!M37," ")</f>
        <v xml:space="preserve"> </v>
      </c>
    </row>
    <row r="45" spans="3:17" x14ac:dyDescent="0.25">
      <c r="C45" s="285" t="str">
        <f>'Solution 1, (hidden)'!B38</f>
        <v xml:space="preserve"> </v>
      </c>
      <c r="D45" s="285" t="str">
        <f>'Solution  2, (hidden)'!B38</f>
        <v xml:space="preserve"> </v>
      </c>
      <c r="E45" s="285" t="str">
        <f>IF('2. Inputs and results'!$C$21&gt;='2. Inputs and results'!$B$21,'Solution  2, (hidden)'!B38,'Solution 1, (hidden)'!B38)</f>
        <v xml:space="preserve"> </v>
      </c>
      <c r="F45" s="288" t="e">
        <f>'Solution 1, (hidden)'!W38</f>
        <v>#N/A</v>
      </c>
      <c r="G45" s="288" t="e">
        <f>'Solution  2, (hidden)'!W38</f>
        <v>#N/A</v>
      </c>
      <c r="H45" s="288" t="e">
        <f>'Solution 1, (hidden)'!R38</f>
        <v>#N/A</v>
      </c>
      <c r="I45" s="288" t="e">
        <f>'Solution  2, (hidden)'!R38</f>
        <v>#N/A</v>
      </c>
      <c r="J45" s="287" t="e">
        <f>'Solution 1, (hidden) (2)'!R38</f>
        <v>#N/A</v>
      </c>
      <c r="K45" s="287" t="e">
        <f>'Solution  2, (hidden) (2)'!R38</f>
        <v>#N/A</v>
      </c>
      <c r="L45" s="30" t="str">
        <f>IF('4. Cash flow '!E45&lt;('2. Inputs and results'!$B$21+1),'Solution 1, (hidden)'!C38-'Solution 1, (hidden)'!M38," ")</f>
        <v xml:space="preserve"> </v>
      </c>
      <c r="M45" s="30" t="str">
        <f>IF(E45&lt;('2. Inputs and results'!$C$21+1),'Solution  2, (hidden)'!C38-'Solution  2, (hidden)'!M38," ")</f>
        <v xml:space="preserve"> </v>
      </c>
      <c r="N45" s="24" t="str">
        <f>IF('4. Cash flow '!E45&lt;('2. Inputs and results'!$B$21+1),'Solution 1, (hidden)'!G38+'Solution 1, (hidden)'!I38+'Solution 1, (hidden)'!H38+'Solution 1, (hidden)'!J38-'Solution 1, (hidden)'!M38," ")</f>
        <v xml:space="preserve"> </v>
      </c>
      <c r="O45" s="24" t="str">
        <f>IF(E45&lt;('2. Inputs and results'!$C$21+1),'Solution  2, (hidden)'!G38+'Solution  2, (hidden)'!I38+'Solution  2, (hidden)'!H38+'Solution  2, (hidden)'!J38-'Solution  2, (hidden)'!M38," ")</f>
        <v xml:space="preserve"> </v>
      </c>
      <c r="P45" s="24" t="str">
        <f>IF('4. Cash flow '!E45&lt;('2. Inputs and results'!$B$21+1),'Solution 1, (hidden) (2)'!G38+'Solution 1, (hidden) (2)'!I38+'Solution 1, (hidden) (2)'!H38+'Solution 1, (hidden) (2)'!J38-'Solution 1, (hidden) (2)'!M38," ")</f>
        <v xml:space="preserve"> </v>
      </c>
      <c r="Q45" s="24" t="str">
        <f>IF(E45&lt;('2. Inputs and results'!$C$21+1),'Solution  2, (hidden) (2)'!G38+'Solution  2, (hidden) (2)'!I38+'Solution  2, (hidden) (2)'!H38+'Solution  2, (hidden) (2)'!J38-'Solution  2, (hidden) (2)'!M38," ")</f>
        <v xml:space="preserve"> </v>
      </c>
    </row>
    <row r="46" spans="3:17" x14ac:dyDescent="0.25">
      <c r="C46" s="285" t="str">
        <f>'Solution 1, (hidden)'!B39</f>
        <v xml:space="preserve"> </v>
      </c>
      <c r="D46" s="285" t="str">
        <f>'Solution  2, (hidden)'!B39</f>
        <v xml:space="preserve"> </v>
      </c>
      <c r="E46" s="285" t="str">
        <f>IF('2. Inputs and results'!$C$21&gt;='2. Inputs and results'!$B$21,'Solution  2, (hidden)'!B39,'Solution 1, (hidden)'!B39)</f>
        <v xml:space="preserve"> </v>
      </c>
      <c r="F46" s="288" t="e">
        <f>'Solution 1, (hidden)'!W39</f>
        <v>#N/A</v>
      </c>
      <c r="G46" s="288" t="e">
        <f>'Solution  2, (hidden)'!W39</f>
        <v>#N/A</v>
      </c>
      <c r="H46" s="288" t="e">
        <f>'Solution 1, (hidden)'!R39</f>
        <v>#N/A</v>
      </c>
      <c r="I46" s="288" t="e">
        <f>'Solution  2, (hidden)'!R39</f>
        <v>#N/A</v>
      </c>
      <c r="J46" s="287" t="e">
        <f>'Solution 1, (hidden) (2)'!R39</f>
        <v>#N/A</v>
      </c>
      <c r="K46" s="287" t="e">
        <f>'Solution  2, (hidden) (2)'!R39</f>
        <v>#N/A</v>
      </c>
      <c r="L46" s="30" t="str">
        <f>IF('4. Cash flow '!E46&lt;('2. Inputs and results'!$B$21+1),'Solution 1, (hidden)'!C39-'Solution 1, (hidden)'!M39," ")</f>
        <v xml:space="preserve"> </v>
      </c>
      <c r="M46" s="30" t="str">
        <f>IF(E46&lt;('2. Inputs and results'!$C$21+1),'Solution  2, (hidden)'!C39-'Solution  2, (hidden)'!M39," ")</f>
        <v xml:space="preserve"> </v>
      </c>
      <c r="N46" s="24" t="str">
        <f>IF('4. Cash flow '!E46&lt;('2. Inputs and results'!$B$21+1),'Solution 1, (hidden)'!G39+'Solution 1, (hidden)'!I39+'Solution 1, (hidden)'!H39+'Solution 1, (hidden)'!J39-'Solution 1, (hidden)'!M39," ")</f>
        <v xml:space="preserve"> </v>
      </c>
      <c r="O46" s="24" t="str">
        <f>IF(E46&lt;('2. Inputs and results'!$C$21+1),'Solution  2, (hidden)'!G39+'Solution  2, (hidden)'!I39+'Solution  2, (hidden)'!H39+'Solution  2, (hidden)'!J39-'Solution  2, (hidden)'!M39," ")</f>
        <v xml:space="preserve"> </v>
      </c>
      <c r="P46" s="24" t="str">
        <f>IF('4. Cash flow '!E46&lt;('2. Inputs and results'!$B$21+1),'Solution 1, (hidden) (2)'!G39+'Solution 1, (hidden) (2)'!I39+'Solution 1, (hidden) (2)'!H39+'Solution 1, (hidden) (2)'!J39-'Solution 1, (hidden) (2)'!M39," ")</f>
        <v xml:space="preserve"> </v>
      </c>
      <c r="Q46" s="24" t="str">
        <f>IF(E46&lt;('2. Inputs and results'!$C$21+1),'Solution  2, (hidden) (2)'!G39+'Solution  2, (hidden) (2)'!I39+'Solution  2, (hidden) (2)'!H39+'Solution  2, (hidden) (2)'!J39-'Solution  2, (hidden) (2)'!M39," ")</f>
        <v xml:space="preserve"> </v>
      </c>
    </row>
    <row r="47" spans="3:17" x14ac:dyDescent="0.25">
      <c r="C47" s="285" t="str">
        <f>'Solution 1, (hidden)'!B40</f>
        <v xml:space="preserve"> </v>
      </c>
      <c r="D47" s="285" t="str">
        <f>'Solution  2, (hidden)'!B40</f>
        <v xml:space="preserve"> </v>
      </c>
      <c r="E47" s="285" t="str">
        <f>IF('2. Inputs and results'!$C$21&gt;='2. Inputs and results'!$B$21,'Solution  2, (hidden)'!B40,'Solution 1, (hidden)'!B40)</f>
        <v xml:space="preserve"> </v>
      </c>
      <c r="F47" s="288" t="e">
        <f>'Solution 1, (hidden)'!W40</f>
        <v>#N/A</v>
      </c>
      <c r="G47" s="288" t="e">
        <f>'Solution  2, (hidden)'!W40</f>
        <v>#N/A</v>
      </c>
      <c r="H47" s="288" t="e">
        <f>'Solution 1, (hidden)'!R40</f>
        <v>#N/A</v>
      </c>
      <c r="I47" s="288" t="e">
        <f>'Solution  2, (hidden)'!R40</f>
        <v>#N/A</v>
      </c>
      <c r="J47" s="287" t="e">
        <f>'Solution 1, (hidden) (2)'!R40</f>
        <v>#N/A</v>
      </c>
      <c r="K47" s="287" t="e">
        <f>'Solution  2, (hidden) (2)'!R40</f>
        <v>#N/A</v>
      </c>
      <c r="L47" s="30" t="str">
        <f>IF('4. Cash flow '!E47&lt;('2. Inputs and results'!$B$21+1),'Solution 1, (hidden)'!C40-'Solution 1, (hidden)'!M40," ")</f>
        <v xml:space="preserve"> </v>
      </c>
      <c r="M47" s="30" t="str">
        <f>IF(E47&lt;('2. Inputs and results'!$C$21+1),'Solution  2, (hidden)'!C40-'Solution  2, (hidden)'!M40," ")</f>
        <v xml:space="preserve"> </v>
      </c>
      <c r="N47" s="24" t="str">
        <f>IF('4. Cash flow '!E47&lt;('2. Inputs and results'!$B$21+1),'Solution 1, (hidden)'!G40+'Solution 1, (hidden)'!I40+'Solution 1, (hidden)'!H40+'Solution 1, (hidden)'!J40-'Solution 1, (hidden)'!M40," ")</f>
        <v xml:space="preserve"> </v>
      </c>
      <c r="O47" s="24" t="str">
        <f>IF(E47&lt;('2. Inputs and results'!$C$21+1),'Solution  2, (hidden)'!G40+'Solution  2, (hidden)'!I40+'Solution  2, (hidden)'!H40+'Solution  2, (hidden)'!J40-'Solution  2, (hidden)'!M40," ")</f>
        <v xml:space="preserve"> </v>
      </c>
      <c r="P47" s="24" t="str">
        <f>IF('4. Cash flow '!E47&lt;('2. Inputs and results'!$B$21+1),'Solution 1, (hidden) (2)'!G40+'Solution 1, (hidden) (2)'!I40+'Solution 1, (hidden) (2)'!H40+'Solution 1, (hidden) (2)'!J40-'Solution 1, (hidden) (2)'!M40," ")</f>
        <v xml:space="preserve"> </v>
      </c>
      <c r="Q47" s="24" t="str">
        <f>IF(E47&lt;('2. Inputs and results'!$C$21+1),'Solution  2, (hidden) (2)'!G40+'Solution  2, (hidden) (2)'!I40+'Solution  2, (hidden) (2)'!H40+'Solution  2, (hidden) (2)'!J40-'Solution  2, (hidden) (2)'!M40," ")</f>
        <v xml:space="preserve"> </v>
      </c>
    </row>
    <row r="48" spans="3:17" x14ac:dyDescent="0.25">
      <c r="C48" s="285" t="str">
        <f>'Solution 1, (hidden)'!B41</f>
        <v xml:space="preserve"> </v>
      </c>
      <c r="D48" s="285" t="str">
        <f>'Solution  2, (hidden)'!B41</f>
        <v xml:space="preserve"> </v>
      </c>
      <c r="E48" s="285" t="str">
        <f>IF('2. Inputs and results'!$C$21&gt;='2. Inputs and results'!$B$21,'Solution  2, (hidden)'!B41,'Solution 1, (hidden)'!B41)</f>
        <v xml:space="preserve"> </v>
      </c>
      <c r="F48" s="288" t="e">
        <f>'Solution 1, (hidden)'!W41</f>
        <v>#N/A</v>
      </c>
      <c r="G48" s="288" t="e">
        <f>'Solution  2, (hidden)'!W41</f>
        <v>#N/A</v>
      </c>
      <c r="H48" s="288" t="e">
        <f>'Solution 1, (hidden)'!R41</f>
        <v>#N/A</v>
      </c>
      <c r="I48" s="288" t="e">
        <f>'Solution  2, (hidden)'!R41</f>
        <v>#N/A</v>
      </c>
      <c r="J48" s="287" t="e">
        <f>'Solution 1, (hidden) (2)'!R41</f>
        <v>#N/A</v>
      </c>
      <c r="K48" s="287" t="e">
        <f>'Solution  2, (hidden) (2)'!R41</f>
        <v>#N/A</v>
      </c>
      <c r="L48" s="30" t="str">
        <f>IF('4. Cash flow '!E48&lt;('2. Inputs and results'!$B$21+1),'Solution 1, (hidden)'!C41-'Solution 1, (hidden)'!M41," ")</f>
        <v xml:space="preserve"> </v>
      </c>
      <c r="M48" s="30" t="str">
        <f>IF(E48&lt;('2. Inputs and results'!$C$21+1),'Solution  2, (hidden)'!C41-'Solution  2, (hidden)'!M41," ")</f>
        <v xml:space="preserve"> </v>
      </c>
      <c r="N48" s="24" t="str">
        <f>IF('4. Cash flow '!E48&lt;('2. Inputs and results'!$B$21+1),'Solution 1, (hidden)'!G41+'Solution 1, (hidden)'!I41+'Solution 1, (hidden)'!H41+'Solution 1, (hidden)'!J41-'Solution 1, (hidden)'!M41," ")</f>
        <v xml:space="preserve"> </v>
      </c>
      <c r="O48" s="24" t="str">
        <f>IF(E48&lt;('2. Inputs and results'!$C$21+1),'Solution  2, (hidden)'!G41+'Solution  2, (hidden)'!I41+'Solution  2, (hidden)'!H41+'Solution  2, (hidden)'!J41-'Solution  2, (hidden)'!M41," ")</f>
        <v xml:space="preserve"> </v>
      </c>
      <c r="P48" s="24" t="str">
        <f>IF('4. Cash flow '!E48&lt;('2. Inputs and results'!$B$21+1),'Solution 1, (hidden) (2)'!G41+'Solution 1, (hidden) (2)'!I41+'Solution 1, (hidden) (2)'!H41+'Solution 1, (hidden) (2)'!J41-'Solution 1, (hidden) (2)'!M41," ")</f>
        <v xml:space="preserve"> </v>
      </c>
      <c r="Q48" s="24" t="str">
        <f>IF(E48&lt;('2. Inputs and results'!$C$21+1),'Solution  2, (hidden) (2)'!G41+'Solution  2, (hidden) (2)'!I41+'Solution  2, (hidden) (2)'!H41+'Solution  2, (hidden) (2)'!J41-'Solution  2, (hidden) (2)'!M41," ")</f>
        <v xml:space="preserve"> </v>
      </c>
    </row>
    <row r="49" spans="3:17" x14ac:dyDescent="0.25">
      <c r="C49" s="285" t="str">
        <f>'Solution 1, (hidden)'!B42</f>
        <v xml:space="preserve"> </v>
      </c>
      <c r="D49" s="285" t="str">
        <f>'Solution  2, (hidden)'!B42</f>
        <v xml:space="preserve"> </v>
      </c>
      <c r="E49" s="285" t="str">
        <f>IF('2. Inputs and results'!$C$21&gt;='2. Inputs and results'!$B$21,'Solution  2, (hidden)'!B42,'Solution 1, (hidden)'!B42)</f>
        <v xml:space="preserve"> </v>
      </c>
      <c r="F49" s="288" t="e">
        <f>'Solution 1, (hidden)'!W42</f>
        <v>#N/A</v>
      </c>
      <c r="G49" s="288" t="e">
        <f>'Solution  2, (hidden)'!W42</f>
        <v>#N/A</v>
      </c>
      <c r="H49" s="288" t="e">
        <f>'Solution 1, (hidden)'!R42</f>
        <v>#N/A</v>
      </c>
      <c r="I49" s="288" t="e">
        <f>'Solution  2, (hidden)'!R42</f>
        <v>#N/A</v>
      </c>
      <c r="J49" s="287" t="e">
        <f>'Solution 1, (hidden) (2)'!R42</f>
        <v>#N/A</v>
      </c>
      <c r="K49" s="287" t="e">
        <f>'Solution  2, (hidden) (2)'!R42</f>
        <v>#N/A</v>
      </c>
      <c r="L49" s="30" t="str">
        <f>IF('4. Cash flow '!E49&lt;('2. Inputs and results'!$B$21+1),'Solution 1, (hidden)'!C42-'Solution 1, (hidden)'!M42," ")</f>
        <v xml:space="preserve"> </v>
      </c>
      <c r="M49" s="30" t="str">
        <f>IF(E49&lt;('2. Inputs and results'!$C$21+1),'Solution  2, (hidden)'!C42-'Solution  2, (hidden)'!M42," ")</f>
        <v xml:space="preserve"> </v>
      </c>
      <c r="N49" s="24" t="str">
        <f>IF('4. Cash flow '!E49&lt;('2. Inputs and results'!$B$21+1),'Solution 1, (hidden)'!G42+'Solution 1, (hidden)'!I42+'Solution 1, (hidden)'!H42+'Solution 1, (hidden)'!J42-'Solution 1, (hidden)'!M42," ")</f>
        <v xml:space="preserve"> </v>
      </c>
      <c r="O49" s="24" t="str">
        <f>IF(E49&lt;('2. Inputs and results'!$C$21+1),'Solution  2, (hidden)'!G42+'Solution  2, (hidden)'!I42+'Solution  2, (hidden)'!H42+'Solution  2, (hidden)'!J42-'Solution  2, (hidden)'!M42," ")</f>
        <v xml:space="preserve"> </v>
      </c>
      <c r="P49" s="24" t="str">
        <f>IF('4. Cash flow '!E49&lt;('2. Inputs and results'!$B$21+1),'Solution 1, (hidden) (2)'!G42+'Solution 1, (hidden) (2)'!I42+'Solution 1, (hidden) (2)'!H42+'Solution 1, (hidden) (2)'!J42-'Solution 1, (hidden) (2)'!M42," ")</f>
        <v xml:space="preserve"> </v>
      </c>
      <c r="Q49" s="24" t="str">
        <f>IF(E49&lt;('2. Inputs and results'!$C$21+1),'Solution  2, (hidden) (2)'!G42+'Solution  2, (hidden) (2)'!I42+'Solution  2, (hidden) (2)'!H42+'Solution  2, (hidden) (2)'!J42-'Solution  2, (hidden) (2)'!M42," ")</f>
        <v xml:space="preserve"> </v>
      </c>
    </row>
    <row r="50" spans="3:17" x14ac:dyDescent="0.25">
      <c r="C50" s="285" t="str">
        <f>'Solution 1, (hidden)'!B43</f>
        <v xml:space="preserve"> </v>
      </c>
      <c r="D50" s="285" t="str">
        <f>'Solution  2, (hidden)'!B43</f>
        <v xml:space="preserve"> </v>
      </c>
      <c r="E50" s="285" t="str">
        <f>IF('2. Inputs and results'!$C$21&gt;='2. Inputs and results'!$B$21,'Solution  2, (hidden)'!B43,'Solution 1, (hidden)'!B43)</f>
        <v xml:space="preserve"> </v>
      </c>
      <c r="F50" s="288" t="e">
        <f>'Solution 1, (hidden)'!W43</f>
        <v>#N/A</v>
      </c>
      <c r="G50" s="288" t="e">
        <f>'Solution  2, (hidden)'!W43</f>
        <v>#N/A</v>
      </c>
      <c r="H50" s="288" t="e">
        <f>'Solution 1, (hidden)'!R43</f>
        <v>#N/A</v>
      </c>
      <c r="I50" s="288" t="e">
        <f>'Solution  2, (hidden)'!R43</f>
        <v>#N/A</v>
      </c>
      <c r="J50" s="287" t="e">
        <f>'Solution 1, (hidden) (2)'!R43</f>
        <v>#N/A</v>
      </c>
      <c r="K50" s="287" t="e">
        <f>'Solution  2, (hidden) (2)'!R43</f>
        <v>#N/A</v>
      </c>
      <c r="L50" s="30" t="str">
        <f>IF('4. Cash flow '!E50&lt;('2. Inputs and results'!$B$21+1),'Solution 1, (hidden)'!C43-'Solution 1, (hidden)'!M43," ")</f>
        <v xml:space="preserve"> </v>
      </c>
      <c r="M50" s="30" t="str">
        <f>IF(E50&lt;('2. Inputs and results'!$C$21+1),'Solution  2, (hidden)'!C43-'Solution  2, (hidden)'!M43," ")</f>
        <v xml:space="preserve"> </v>
      </c>
      <c r="N50" s="24" t="str">
        <f>IF('4. Cash flow '!E50&lt;('2. Inputs and results'!$B$21+1),'Solution 1, (hidden)'!G43+'Solution 1, (hidden)'!I43+'Solution 1, (hidden)'!H43+'Solution 1, (hidden)'!J43-'Solution 1, (hidden)'!M43," ")</f>
        <v xml:space="preserve"> </v>
      </c>
      <c r="O50" s="24" t="str">
        <f>IF(E50&lt;('2. Inputs and results'!$C$21+1),'Solution  2, (hidden)'!G43+'Solution  2, (hidden)'!I43+'Solution  2, (hidden)'!H43+'Solution  2, (hidden)'!J43-'Solution  2, (hidden)'!M43," ")</f>
        <v xml:space="preserve"> </v>
      </c>
      <c r="P50" s="24" t="str">
        <f>IF('4. Cash flow '!E50&lt;('2. Inputs and results'!$B$21+1),'Solution 1, (hidden) (2)'!G43+'Solution 1, (hidden) (2)'!I43+'Solution 1, (hidden) (2)'!H43+'Solution 1, (hidden) (2)'!J43-'Solution 1, (hidden) (2)'!M43," ")</f>
        <v xml:space="preserve"> </v>
      </c>
      <c r="Q50" s="24" t="str">
        <f>IF(E50&lt;('2. Inputs and results'!$C$21+1),'Solution  2, (hidden) (2)'!G43+'Solution  2, (hidden) (2)'!I43+'Solution  2, (hidden) (2)'!H43+'Solution  2, (hidden) (2)'!J43-'Solution  2, (hidden) (2)'!M43," ")</f>
        <v xml:space="preserve"> </v>
      </c>
    </row>
    <row r="51" spans="3:17" x14ac:dyDescent="0.25">
      <c r="C51" s="285" t="str">
        <f>'Solution 1, (hidden)'!B44</f>
        <v xml:space="preserve"> </v>
      </c>
      <c r="D51" s="285" t="str">
        <f>'Solution  2, (hidden)'!B44</f>
        <v xml:space="preserve"> </v>
      </c>
      <c r="E51" s="285" t="str">
        <f>IF('2. Inputs and results'!$C$21&gt;='2. Inputs and results'!$B$21,'Solution  2, (hidden)'!B44,'Solution 1, (hidden)'!B44)</f>
        <v xml:space="preserve"> </v>
      </c>
      <c r="F51" s="288" t="e">
        <f>'Solution 1, (hidden)'!W44</f>
        <v>#N/A</v>
      </c>
      <c r="G51" s="288" t="e">
        <f>'Solution  2, (hidden)'!W44</f>
        <v>#N/A</v>
      </c>
      <c r="H51" s="288" t="e">
        <f>'Solution 1, (hidden)'!R44</f>
        <v>#N/A</v>
      </c>
      <c r="I51" s="288" t="e">
        <f>'Solution  2, (hidden)'!R44</f>
        <v>#N/A</v>
      </c>
      <c r="J51" s="287" t="e">
        <f>'Solution 1, (hidden) (2)'!R44</f>
        <v>#N/A</v>
      </c>
      <c r="K51" s="287" t="e">
        <f>'Solution  2, (hidden) (2)'!R44</f>
        <v>#N/A</v>
      </c>
      <c r="L51" s="30" t="str">
        <f>IF('4. Cash flow '!E51&lt;('2. Inputs and results'!$B$21+1),'Solution 1, (hidden)'!C44-'Solution 1, (hidden)'!M44," ")</f>
        <v xml:space="preserve"> </v>
      </c>
      <c r="M51" s="30" t="str">
        <f>IF(E51&lt;('2. Inputs and results'!$C$21+1),'Solution  2, (hidden)'!C44-'Solution  2, (hidden)'!M44," ")</f>
        <v xml:space="preserve"> </v>
      </c>
      <c r="N51" s="24" t="str">
        <f>IF('4. Cash flow '!E51&lt;('2. Inputs and results'!$B$21+1),'Solution 1, (hidden)'!G44+'Solution 1, (hidden)'!I44+'Solution 1, (hidden)'!H44+'Solution 1, (hidden)'!J44-'Solution 1, (hidden)'!M44," ")</f>
        <v xml:space="preserve"> </v>
      </c>
      <c r="O51" s="24" t="str">
        <f>IF(E51&lt;('2. Inputs and results'!$C$21+1),'Solution  2, (hidden)'!G44+'Solution  2, (hidden)'!I44+'Solution  2, (hidden)'!H44+'Solution  2, (hidden)'!J44-'Solution  2, (hidden)'!M44," ")</f>
        <v xml:space="preserve"> </v>
      </c>
      <c r="P51" s="24" t="str">
        <f>IF('4. Cash flow '!E51&lt;('2. Inputs and results'!$B$21+1),'Solution 1, (hidden) (2)'!G44+'Solution 1, (hidden) (2)'!I44+'Solution 1, (hidden) (2)'!H44+'Solution 1, (hidden) (2)'!J44-'Solution 1, (hidden) (2)'!M44," ")</f>
        <v xml:space="preserve"> </v>
      </c>
      <c r="Q51" s="24" t="str">
        <f>IF(E51&lt;('2. Inputs and results'!$C$21+1),'Solution  2, (hidden) (2)'!G44+'Solution  2, (hidden) (2)'!I44+'Solution  2, (hidden) (2)'!H44+'Solution  2, (hidden) (2)'!J44-'Solution  2, (hidden) (2)'!M44," ")</f>
        <v xml:space="preserve"> </v>
      </c>
    </row>
    <row r="52" spans="3:17" x14ac:dyDescent="0.25">
      <c r="C52" s="285" t="str">
        <f>'Solution 1, (hidden)'!B45</f>
        <v xml:space="preserve"> </v>
      </c>
      <c r="D52" s="285" t="str">
        <f>'Solution  2, (hidden)'!B45</f>
        <v xml:space="preserve"> </v>
      </c>
      <c r="E52" s="285" t="str">
        <f>IF('2. Inputs and results'!$C$21&gt;='2. Inputs and results'!$B$21,'Solution  2, (hidden)'!B45,'Solution 1, (hidden)'!B45)</f>
        <v xml:space="preserve"> </v>
      </c>
      <c r="F52" s="288" t="e">
        <f>'Solution 1, (hidden)'!W45</f>
        <v>#N/A</v>
      </c>
      <c r="G52" s="288" t="e">
        <f>'Solution  2, (hidden)'!W45</f>
        <v>#N/A</v>
      </c>
      <c r="H52" s="288" t="e">
        <f>'Solution 1, (hidden)'!R45</f>
        <v>#N/A</v>
      </c>
      <c r="I52" s="288" t="e">
        <f>'Solution  2, (hidden)'!R45</f>
        <v>#N/A</v>
      </c>
      <c r="J52" s="287" t="e">
        <f>'Solution 1, (hidden) (2)'!R45</f>
        <v>#N/A</v>
      </c>
      <c r="K52" s="287" t="e">
        <f>'Solution  2, (hidden) (2)'!R45</f>
        <v>#N/A</v>
      </c>
      <c r="L52" s="30" t="str">
        <f>IF('4. Cash flow '!E52&lt;('2. Inputs and results'!$B$21+1),'Solution 1, (hidden)'!C45-'Solution 1, (hidden)'!M45," ")</f>
        <v xml:space="preserve"> </v>
      </c>
      <c r="M52" s="30" t="str">
        <f>IF(E52&lt;('2. Inputs and results'!$C$21+1),'Solution  2, (hidden)'!C45-'Solution  2, (hidden)'!M45," ")</f>
        <v xml:space="preserve"> </v>
      </c>
      <c r="N52" s="24" t="str">
        <f>IF('4. Cash flow '!E52&lt;('2. Inputs and results'!$B$21+1),'Solution 1, (hidden)'!G45+'Solution 1, (hidden)'!I45+'Solution 1, (hidden)'!H45+'Solution 1, (hidden)'!J45-'Solution 1, (hidden)'!M45," ")</f>
        <v xml:space="preserve"> </v>
      </c>
      <c r="O52" s="24" t="str">
        <f>IF(E52&lt;('2. Inputs and results'!$C$21+1),'Solution  2, (hidden)'!G45+'Solution  2, (hidden)'!I45+'Solution  2, (hidden)'!H45+'Solution  2, (hidden)'!J45-'Solution  2, (hidden)'!M45," ")</f>
        <v xml:space="preserve"> </v>
      </c>
      <c r="P52" s="24" t="str">
        <f>IF('4. Cash flow '!E52&lt;('2. Inputs and results'!$B$21+1),'Solution 1, (hidden) (2)'!G45+'Solution 1, (hidden) (2)'!I45+'Solution 1, (hidden) (2)'!H45+'Solution 1, (hidden) (2)'!J45-'Solution 1, (hidden) (2)'!M45," ")</f>
        <v xml:space="preserve"> </v>
      </c>
      <c r="Q52" s="24" t="str">
        <f>IF(E52&lt;('2. Inputs and results'!$C$21+1),'Solution  2, (hidden) (2)'!G45+'Solution  2, (hidden) (2)'!I45+'Solution  2, (hidden) (2)'!H45+'Solution  2, (hidden) (2)'!J45-'Solution  2, (hidden) (2)'!M45," ")</f>
        <v xml:space="preserve"> </v>
      </c>
    </row>
    <row r="53" spans="3:17" x14ac:dyDescent="0.25">
      <c r="C53" s="285" t="str">
        <f>'Solution 1, (hidden)'!B46</f>
        <v xml:space="preserve"> </v>
      </c>
      <c r="D53" s="285" t="str">
        <f>'Solution  2, (hidden)'!B46</f>
        <v xml:space="preserve"> </v>
      </c>
      <c r="E53" s="285" t="str">
        <f>IF('2. Inputs and results'!$C$21&gt;='2. Inputs and results'!$B$21,'Solution  2, (hidden)'!B46,'Solution 1, (hidden)'!B46)</f>
        <v xml:space="preserve"> </v>
      </c>
      <c r="F53" s="288" t="e">
        <f>'Solution 1, (hidden)'!W46</f>
        <v>#N/A</v>
      </c>
      <c r="G53" s="288" t="e">
        <f>'Solution  2, (hidden)'!W46</f>
        <v>#N/A</v>
      </c>
      <c r="H53" s="288" t="e">
        <f>'Solution 1, (hidden)'!R46</f>
        <v>#N/A</v>
      </c>
      <c r="I53" s="288" t="e">
        <f>'Solution  2, (hidden)'!R46</f>
        <v>#N/A</v>
      </c>
      <c r="J53" s="287" t="e">
        <f>'Solution 1, (hidden) (2)'!R46</f>
        <v>#N/A</v>
      </c>
      <c r="K53" s="287" t="e">
        <f>'Solution  2, (hidden) (2)'!R46</f>
        <v>#N/A</v>
      </c>
      <c r="L53" s="30" t="str">
        <f>IF('4. Cash flow '!E53&lt;('2. Inputs and results'!$B$21+1),'Solution 1, (hidden)'!C46-'Solution 1, (hidden)'!M46," ")</f>
        <v xml:space="preserve"> </v>
      </c>
      <c r="M53" s="30" t="str">
        <f>IF(E53&lt;('2. Inputs and results'!$C$21+1),'Solution  2, (hidden)'!C46-'Solution  2, (hidden)'!M46," ")</f>
        <v xml:space="preserve"> </v>
      </c>
      <c r="N53" s="24" t="str">
        <f>IF('4. Cash flow '!E53&lt;('2. Inputs and results'!$B$21+1),'Solution 1, (hidden)'!G46+'Solution 1, (hidden)'!I46+'Solution 1, (hidden)'!H46+'Solution 1, (hidden)'!J46-'Solution 1, (hidden)'!M46," ")</f>
        <v xml:space="preserve"> </v>
      </c>
      <c r="O53" s="24" t="str">
        <f>IF(E53&lt;('2. Inputs and results'!$C$21+1),'Solution  2, (hidden)'!G46+'Solution  2, (hidden)'!I46+'Solution  2, (hidden)'!H46+'Solution  2, (hidden)'!J46-'Solution  2, (hidden)'!M46," ")</f>
        <v xml:space="preserve"> </v>
      </c>
      <c r="P53" s="24" t="str">
        <f>IF('4. Cash flow '!E53&lt;('2. Inputs and results'!$B$21+1),'Solution 1, (hidden) (2)'!G46+'Solution 1, (hidden) (2)'!I46+'Solution 1, (hidden) (2)'!H46+'Solution 1, (hidden) (2)'!J46-'Solution 1, (hidden) (2)'!M46," ")</f>
        <v xml:space="preserve"> </v>
      </c>
      <c r="Q53" s="24" t="str">
        <f>IF(E53&lt;('2. Inputs and results'!$C$21+1),'Solution  2, (hidden) (2)'!G46+'Solution  2, (hidden) (2)'!I46+'Solution  2, (hidden) (2)'!H46+'Solution  2, (hidden) (2)'!J46-'Solution  2, (hidden) (2)'!M46," ")</f>
        <v xml:space="preserve"> </v>
      </c>
    </row>
    <row r="54" spans="3:17" x14ac:dyDescent="0.25">
      <c r="C54" s="285" t="str">
        <f>'Solution 1, (hidden)'!B47</f>
        <v xml:space="preserve"> </v>
      </c>
      <c r="D54" s="285" t="str">
        <f>'Solution  2, (hidden)'!B47</f>
        <v xml:space="preserve"> </v>
      </c>
      <c r="E54" s="285" t="str">
        <f>IF('2. Inputs and results'!$C$21&gt;='2. Inputs and results'!$B$21,'Solution  2, (hidden)'!B47,'Solution 1, (hidden)'!B47)</f>
        <v xml:space="preserve"> </v>
      </c>
      <c r="F54" s="288" t="e">
        <f>'Solution 1, (hidden)'!W47</f>
        <v>#N/A</v>
      </c>
      <c r="G54" s="288" t="e">
        <f>'Solution  2, (hidden)'!W47</f>
        <v>#N/A</v>
      </c>
      <c r="H54" s="288" t="e">
        <f>'Solution 1, (hidden)'!R47</f>
        <v>#N/A</v>
      </c>
      <c r="I54" s="288" t="e">
        <f>'Solution  2, (hidden)'!R47</f>
        <v>#N/A</v>
      </c>
      <c r="J54" s="287" t="e">
        <f>'Solution 1, (hidden) (2)'!R47</f>
        <v>#N/A</v>
      </c>
      <c r="K54" s="287" t="e">
        <f>'Solution  2, (hidden) (2)'!R47</f>
        <v>#N/A</v>
      </c>
      <c r="L54" s="30" t="str">
        <f>IF('4. Cash flow '!E54&lt;('2. Inputs and results'!$B$21+1),'Solution 1, (hidden)'!C47-'Solution 1, (hidden)'!M47," ")</f>
        <v xml:space="preserve"> </v>
      </c>
      <c r="M54" s="30" t="str">
        <f>IF(E54&lt;('2. Inputs and results'!$C$21+1),'Solution  2, (hidden)'!C47-'Solution  2, (hidden)'!M47," ")</f>
        <v xml:space="preserve"> </v>
      </c>
      <c r="N54" s="24" t="str">
        <f>IF('4. Cash flow '!E54&lt;('2. Inputs and results'!$B$21+1),'Solution 1, (hidden)'!G47+'Solution 1, (hidden)'!I47+'Solution 1, (hidden)'!H47+'Solution 1, (hidden)'!J47-'Solution 1, (hidden)'!M47," ")</f>
        <v xml:space="preserve"> </v>
      </c>
      <c r="O54" s="24" t="str">
        <f>IF(E54&lt;('2. Inputs and results'!$C$21+1),'Solution  2, (hidden)'!G47+'Solution  2, (hidden)'!I47+'Solution  2, (hidden)'!H47+'Solution  2, (hidden)'!J47-'Solution  2, (hidden)'!M47," ")</f>
        <v xml:space="preserve"> </v>
      </c>
      <c r="P54" s="24" t="str">
        <f>IF('4. Cash flow '!E54&lt;('2. Inputs and results'!$B$21+1),'Solution 1, (hidden) (2)'!G47+'Solution 1, (hidden) (2)'!I47+'Solution 1, (hidden) (2)'!H47+'Solution 1, (hidden) (2)'!J47-'Solution 1, (hidden) (2)'!M47," ")</f>
        <v xml:space="preserve"> </v>
      </c>
      <c r="Q54" s="24" t="str">
        <f>IF(E54&lt;('2. Inputs and results'!$C$21+1),'Solution  2, (hidden) (2)'!G47+'Solution  2, (hidden) (2)'!I47+'Solution  2, (hidden) (2)'!H47+'Solution  2, (hidden) (2)'!J47-'Solution  2, (hidden) (2)'!M47," ")</f>
        <v xml:space="preserve"> </v>
      </c>
    </row>
    <row r="55" spans="3:17" x14ac:dyDescent="0.25">
      <c r="C55" s="285" t="str">
        <f>'Solution 1, (hidden)'!B48</f>
        <v xml:space="preserve"> </v>
      </c>
      <c r="D55" s="285" t="str">
        <f>'Solution  2, (hidden)'!B48</f>
        <v xml:space="preserve"> </v>
      </c>
      <c r="E55" s="285" t="str">
        <f>IF('2. Inputs and results'!$C$21&gt;='2. Inputs and results'!$B$21,'Solution  2, (hidden)'!B48,'Solution 1, (hidden)'!B48)</f>
        <v xml:space="preserve"> </v>
      </c>
      <c r="F55" s="288" t="e">
        <f>'Solution 1, (hidden)'!W48</f>
        <v>#N/A</v>
      </c>
      <c r="G55" s="288" t="e">
        <f>'Solution  2, (hidden)'!W48</f>
        <v>#N/A</v>
      </c>
      <c r="H55" s="288" t="e">
        <f>'Solution 1, (hidden)'!R48</f>
        <v>#N/A</v>
      </c>
      <c r="I55" s="288" t="e">
        <f>'Solution  2, (hidden)'!R48</f>
        <v>#N/A</v>
      </c>
      <c r="J55" s="287" t="e">
        <f>'Solution 1, (hidden) (2)'!R48</f>
        <v>#N/A</v>
      </c>
      <c r="K55" s="287" t="e">
        <f>'Solution  2, (hidden) (2)'!R48</f>
        <v>#N/A</v>
      </c>
      <c r="L55" s="30" t="str">
        <f>IF('4. Cash flow '!E55&lt;('2. Inputs and results'!$B$21+1),'Solution 1, (hidden)'!C48-'Solution 1, (hidden)'!M48," ")</f>
        <v xml:space="preserve"> </v>
      </c>
      <c r="M55" s="30" t="str">
        <f>IF(E55&lt;('2. Inputs and results'!$C$21+1),'Solution  2, (hidden)'!C48-'Solution  2, (hidden)'!M48," ")</f>
        <v xml:space="preserve"> </v>
      </c>
      <c r="N55" s="24" t="str">
        <f>IF('4. Cash flow '!E55&lt;('2. Inputs and results'!$B$21+1),'Solution 1, (hidden)'!G48+'Solution 1, (hidden)'!I48+'Solution 1, (hidden)'!H48+'Solution 1, (hidden)'!J48-'Solution 1, (hidden)'!M48," ")</f>
        <v xml:space="preserve"> </v>
      </c>
      <c r="O55" s="24" t="str">
        <f>IF(E55&lt;('2. Inputs and results'!$C$21+1),'Solution  2, (hidden)'!G48+'Solution  2, (hidden)'!I48+'Solution  2, (hidden)'!H48+'Solution  2, (hidden)'!J48-'Solution  2, (hidden)'!M48," ")</f>
        <v xml:space="preserve"> </v>
      </c>
      <c r="P55" s="24" t="str">
        <f>IF('4. Cash flow '!E55&lt;('2. Inputs and results'!$B$21+1),'Solution 1, (hidden) (2)'!G48+'Solution 1, (hidden) (2)'!I48+'Solution 1, (hidden) (2)'!H48+'Solution 1, (hidden) (2)'!J48-'Solution 1, (hidden) (2)'!M48," ")</f>
        <v xml:space="preserve"> </v>
      </c>
      <c r="Q55" s="24" t="str">
        <f>IF(E55&lt;('2. Inputs and results'!$C$21+1),'Solution  2, (hidden) (2)'!G48+'Solution  2, (hidden) (2)'!I48+'Solution  2, (hidden) (2)'!H48+'Solution  2, (hidden) (2)'!J48-'Solution  2, (hidden) (2)'!M48," ")</f>
        <v xml:space="preserve"> </v>
      </c>
    </row>
    <row r="56" spans="3:17" x14ac:dyDescent="0.25">
      <c r="C56" s="285" t="str">
        <f>'Solution 1, (hidden)'!B49</f>
        <v xml:space="preserve"> </v>
      </c>
      <c r="D56" s="285" t="str">
        <f>'Solution  2, (hidden)'!B49</f>
        <v xml:space="preserve"> </v>
      </c>
      <c r="E56" s="285" t="str">
        <f>IF('2. Inputs and results'!$C$21&gt;='2. Inputs and results'!$B$21,'Solution  2, (hidden)'!B49,'Solution 1, (hidden)'!B49)</f>
        <v xml:space="preserve"> </v>
      </c>
      <c r="F56" s="288" t="e">
        <f>'Solution 1, (hidden)'!W49</f>
        <v>#N/A</v>
      </c>
      <c r="G56" s="288" t="e">
        <f>'Solution  2, (hidden)'!W49</f>
        <v>#N/A</v>
      </c>
      <c r="H56" s="288" t="e">
        <f>'Solution 1, (hidden)'!R49</f>
        <v>#N/A</v>
      </c>
      <c r="I56" s="288" t="e">
        <f>'Solution  2, (hidden)'!R49</f>
        <v>#N/A</v>
      </c>
      <c r="J56" s="287" t="e">
        <f>'Solution 1, (hidden) (2)'!R49</f>
        <v>#N/A</v>
      </c>
      <c r="K56" s="287" t="e">
        <f>'Solution  2, (hidden) (2)'!R49</f>
        <v>#N/A</v>
      </c>
      <c r="L56" s="30" t="str">
        <f>IF('4. Cash flow '!E56&lt;('2. Inputs and results'!$B$21+1),'Solution 1, (hidden)'!C49-'Solution 1, (hidden)'!M49," ")</f>
        <v xml:space="preserve"> </v>
      </c>
      <c r="M56" s="30" t="str">
        <f>IF(E56&lt;('2. Inputs and results'!$C$21+1),'Solution  2, (hidden)'!C49-'Solution  2, (hidden)'!M49," ")</f>
        <v xml:space="preserve"> </v>
      </c>
      <c r="N56" s="24" t="str">
        <f>IF('4. Cash flow '!E56&lt;('2. Inputs and results'!$B$21+1),'Solution 1, (hidden)'!G49+'Solution 1, (hidden)'!I49+'Solution 1, (hidden)'!H49+'Solution 1, (hidden)'!J49-'Solution 1, (hidden)'!M49," ")</f>
        <v xml:space="preserve"> </v>
      </c>
      <c r="O56" s="24" t="str">
        <f>IF(E56&lt;('2. Inputs and results'!$C$21+1),'Solution  2, (hidden)'!G49+'Solution  2, (hidden)'!I49+'Solution  2, (hidden)'!H49+'Solution  2, (hidden)'!J49-'Solution  2, (hidden)'!M49," ")</f>
        <v xml:space="preserve"> </v>
      </c>
      <c r="P56" s="24" t="str">
        <f>IF('4. Cash flow '!E56&lt;('2. Inputs and results'!$B$21+1),'Solution 1, (hidden) (2)'!G49+'Solution 1, (hidden) (2)'!I49+'Solution 1, (hidden) (2)'!H49+'Solution 1, (hidden) (2)'!J49-'Solution 1, (hidden) (2)'!M49," ")</f>
        <v xml:space="preserve"> </v>
      </c>
      <c r="Q56" s="24" t="str">
        <f>IF(E56&lt;('2. Inputs and results'!$C$21+1),'Solution  2, (hidden) (2)'!G49+'Solution  2, (hidden) (2)'!I49+'Solution  2, (hidden) (2)'!H49+'Solution  2, (hidden) (2)'!J49-'Solution  2, (hidden) (2)'!M49," ")</f>
        <v xml:space="preserve"> </v>
      </c>
    </row>
    <row r="57" spans="3:17" x14ac:dyDescent="0.25">
      <c r="C57" s="285" t="str">
        <f>'Solution 1, (hidden)'!B50</f>
        <v xml:space="preserve"> </v>
      </c>
      <c r="D57" s="285" t="str">
        <f>'Solution  2, (hidden)'!B50</f>
        <v xml:space="preserve"> </v>
      </c>
      <c r="E57" s="285" t="str">
        <f>IF('2. Inputs and results'!$C$21&gt;='2. Inputs and results'!$B$21,'Solution  2, (hidden)'!B50,'Solution 1, (hidden)'!B50)</f>
        <v xml:space="preserve"> </v>
      </c>
      <c r="F57" s="288" t="e">
        <f>'Solution 1, (hidden)'!W50</f>
        <v>#N/A</v>
      </c>
      <c r="G57" s="288" t="e">
        <f>'Solution  2, (hidden)'!W50</f>
        <v>#N/A</v>
      </c>
      <c r="H57" s="288" t="e">
        <f>'Solution 1, (hidden)'!R50</f>
        <v>#N/A</v>
      </c>
      <c r="I57" s="288" t="e">
        <f>'Solution  2, (hidden)'!R50</f>
        <v>#N/A</v>
      </c>
      <c r="J57" s="287" t="e">
        <f>'Solution 1, (hidden) (2)'!R50</f>
        <v>#N/A</v>
      </c>
      <c r="K57" s="287" t="e">
        <f>'Solution  2, (hidden) (2)'!R50</f>
        <v>#N/A</v>
      </c>
      <c r="L57" s="30" t="str">
        <f>IF('4. Cash flow '!E57&lt;('2. Inputs and results'!$B$21+1),'Solution 1, (hidden)'!C50-'Solution 1, (hidden)'!M50," ")</f>
        <v xml:space="preserve"> </v>
      </c>
      <c r="M57" s="30" t="str">
        <f>IF(E57&lt;('2. Inputs and results'!$C$21+1),'Solution  2, (hidden)'!C50-'Solution  2, (hidden)'!M50," ")</f>
        <v xml:space="preserve"> </v>
      </c>
      <c r="N57" s="24" t="str">
        <f>IF('4. Cash flow '!E57&lt;('2. Inputs and results'!$B$21+1),'Solution 1, (hidden)'!G50+'Solution 1, (hidden)'!I50+'Solution 1, (hidden)'!H50+'Solution 1, (hidden)'!J50-'Solution 1, (hidden)'!M50," ")</f>
        <v xml:space="preserve"> </v>
      </c>
      <c r="O57" s="24" t="str">
        <f>IF(E57&lt;('2. Inputs and results'!$C$21+1),'Solution  2, (hidden)'!G50+'Solution  2, (hidden)'!I50+'Solution  2, (hidden)'!H50+'Solution  2, (hidden)'!J50-'Solution  2, (hidden)'!M50," ")</f>
        <v xml:space="preserve"> </v>
      </c>
      <c r="P57" s="24" t="str">
        <f>IF('4. Cash flow '!E57&lt;('2. Inputs and results'!$B$21+1),'Solution 1, (hidden) (2)'!G50+'Solution 1, (hidden) (2)'!I50+'Solution 1, (hidden) (2)'!H50+'Solution 1, (hidden) (2)'!J50-'Solution 1, (hidden) (2)'!M50," ")</f>
        <v xml:space="preserve"> </v>
      </c>
      <c r="Q57" s="24" t="str">
        <f>IF(E57&lt;('2. Inputs and results'!$C$21+1),'Solution  2, (hidden) (2)'!G50+'Solution  2, (hidden) (2)'!I50+'Solution  2, (hidden) (2)'!H50+'Solution  2, (hidden) (2)'!J50-'Solution  2, (hidden) (2)'!M50," ")</f>
        <v xml:space="preserve"> </v>
      </c>
    </row>
    <row r="58" spans="3:17" x14ac:dyDescent="0.25">
      <c r="C58" s="285" t="str">
        <f>'Solution 1, (hidden)'!B51</f>
        <v xml:space="preserve"> </v>
      </c>
      <c r="D58" s="285" t="str">
        <f>'Solution  2, (hidden)'!B51</f>
        <v xml:space="preserve"> </v>
      </c>
      <c r="E58" s="285" t="str">
        <f>IF('2. Inputs and results'!$C$21&gt;='2. Inputs and results'!$B$21,'Solution  2, (hidden)'!B51,'Solution 1, (hidden)'!B51)</f>
        <v xml:space="preserve"> </v>
      </c>
      <c r="F58" s="288" t="e">
        <f>'Solution 1, (hidden)'!W51</f>
        <v>#N/A</v>
      </c>
      <c r="G58" s="288" t="e">
        <f>'Solution  2, (hidden)'!W51</f>
        <v>#N/A</v>
      </c>
      <c r="H58" s="288" t="e">
        <f>'Solution 1, (hidden)'!R51</f>
        <v>#N/A</v>
      </c>
      <c r="I58" s="288" t="e">
        <f>'Solution  2, (hidden)'!R51</f>
        <v>#N/A</v>
      </c>
      <c r="J58" s="287" t="e">
        <f>'Solution 1, (hidden) (2)'!R51</f>
        <v>#N/A</v>
      </c>
      <c r="K58" s="287" t="e">
        <f>'Solution  2, (hidden) (2)'!R51</f>
        <v>#N/A</v>
      </c>
      <c r="L58" s="30" t="str">
        <f>IF('4. Cash flow '!E58&lt;('2. Inputs and results'!$B$21+1),'Solution 1, (hidden)'!C51-'Solution 1, (hidden)'!M51," ")</f>
        <v xml:space="preserve"> </v>
      </c>
      <c r="M58" s="30" t="str">
        <f>IF(E58&lt;('2. Inputs and results'!$C$21+1),'Solution  2, (hidden)'!C51-'Solution  2, (hidden)'!M51," ")</f>
        <v xml:space="preserve"> </v>
      </c>
      <c r="N58" s="24" t="str">
        <f>IF('4. Cash flow '!E58&lt;('2. Inputs and results'!$B$21+1),'Solution 1, (hidden)'!G51+'Solution 1, (hidden)'!I51+'Solution 1, (hidden)'!H51+'Solution 1, (hidden)'!J51-'Solution 1, (hidden)'!M51," ")</f>
        <v xml:space="preserve"> </v>
      </c>
      <c r="O58" s="24" t="str">
        <f>IF(E58&lt;('2. Inputs and results'!$C$21+1),'Solution  2, (hidden)'!G51+'Solution  2, (hidden)'!I51+'Solution  2, (hidden)'!H51+'Solution  2, (hidden)'!J51-'Solution  2, (hidden)'!M51," ")</f>
        <v xml:space="preserve"> </v>
      </c>
      <c r="P58" s="24" t="str">
        <f>IF('4. Cash flow '!E58&lt;('2. Inputs and results'!$B$21+1),'Solution 1, (hidden) (2)'!G51+'Solution 1, (hidden) (2)'!I51+'Solution 1, (hidden) (2)'!H51+'Solution 1, (hidden) (2)'!J51-'Solution 1, (hidden) (2)'!M51," ")</f>
        <v xml:space="preserve"> </v>
      </c>
      <c r="Q58" s="24" t="str">
        <f>IF(E58&lt;('2. Inputs and results'!$C$21+1),'Solution  2, (hidden) (2)'!G51+'Solution  2, (hidden) (2)'!I51+'Solution  2, (hidden) (2)'!H51+'Solution  2, (hidden) (2)'!J51-'Solution  2, (hidden) (2)'!M51," ")</f>
        <v xml:space="preserve"> </v>
      </c>
    </row>
    <row r="59" spans="3:17" x14ac:dyDescent="0.25">
      <c r="C59" s="285" t="str">
        <f>'Solution 1, (hidden)'!B52</f>
        <v xml:space="preserve"> </v>
      </c>
      <c r="D59" s="285" t="str">
        <f>'Solution  2, (hidden)'!B52</f>
        <v xml:space="preserve"> </v>
      </c>
      <c r="E59" s="285" t="str">
        <f>IF('2. Inputs and results'!$C$21&gt;='2. Inputs and results'!$B$21,'Solution  2, (hidden)'!B52,'Solution 1, (hidden)'!B52)</f>
        <v xml:space="preserve"> </v>
      </c>
      <c r="F59" s="288" t="e">
        <f>'Solution 1, (hidden)'!W52</f>
        <v>#N/A</v>
      </c>
      <c r="G59" s="288" t="e">
        <f>'Solution  2, (hidden)'!W52</f>
        <v>#N/A</v>
      </c>
      <c r="H59" s="288" t="e">
        <f>'Solution 1, (hidden)'!R52</f>
        <v>#N/A</v>
      </c>
      <c r="I59" s="288" t="e">
        <f>'Solution  2, (hidden)'!R52</f>
        <v>#N/A</v>
      </c>
      <c r="J59" s="287" t="e">
        <f>'Solution 1, (hidden) (2)'!R52</f>
        <v>#N/A</v>
      </c>
      <c r="K59" s="287" t="e">
        <f>'Solution  2, (hidden) (2)'!R52</f>
        <v>#N/A</v>
      </c>
      <c r="L59" s="30" t="str">
        <f>IF('4. Cash flow '!E59&lt;('2. Inputs and results'!$B$21+1),'Solution 1, (hidden)'!C52-'Solution 1, (hidden)'!M52," ")</f>
        <v xml:space="preserve"> </v>
      </c>
      <c r="M59" s="30" t="str">
        <f>IF(E59&lt;('2. Inputs and results'!$C$21+1),'Solution  2, (hidden)'!C52-'Solution  2, (hidden)'!M52," ")</f>
        <v xml:space="preserve"> </v>
      </c>
      <c r="N59" s="24" t="str">
        <f>IF('4. Cash flow '!E59&lt;('2. Inputs and results'!$B$21+1),'Solution 1, (hidden)'!G52+'Solution 1, (hidden)'!I52+'Solution 1, (hidden)'!H52+'Solution 1, (hidden)'!J52-'Solution 1, (hidden)'!M52," ")</f>
        <v xml:space="preserve"> </v>
      </c>
      <c r="O59" s="24" t="str">
        <f>IF(E59&lt;('2. Inputs and results'!$C$21+1),'Solution  2, (hidden)'!G52+'Solution  2, (hidden)'!I52+'Solution  2, (hidden)'!H52+'Solution  2, (hidden)'!J52-'Solution  2, (hidden)'!M52," ")</f>
        <v xml:space="preserve"> </v>
      </c>
      <c r="P59" s="24" t="str">
        <f>IF('4. Cash flow '!E59&lt;('2. Inputs and results'!$B$21+1),'Solution 1, (hidden) (2)'!G52+'Solution 1, (hidden) (2)'!I52+'Solution 1, (hidden) (2)'!H52+'Solution 1, (hidden) (2)'!J52-'Solution 1, (hidden) (2)'!M52," ")</f>
        <v xml:space="preserve"> </v>
      </c>
      <c r="Q59" s="24" t="str">
        <f>IF(E59&lt;('2. Inputs and results'!$C$21+1),'Solution  2, (hidden) (2)'!G52+'Solution  2, (hidden) (2)'!I52+'Solution  2, (hidden) (2)'!H52+'Solution  2, (hidden) (2)'!J52-'Solution  2, (hidden) (2)'!M52," ")</f>
        <v xml:space="preserve"> </v>
      </c>
    </row>
    <row r="60" spans="3:17" x14ac:dyDescent="0.25">
      <c r="C60" s="285" t="str">
        <f>'Solution 1, (hidden)'!B53</f>
        <v xml:space="preserve"> </v>
      </c>
      <c r="D60" s="285" t="str">
        <f>'Solution  2, (hidden)'!B53</f>
        <v xml:space="preserve"> </v>
      </c>
      <c r="E60" s="285" t="str">
        <f>IF('2. Inputs and results'!$C$21&gt;='2. Inputs and results'!$B$21,'Solution  2, (hidden)'!B53,'Solution 1, (hidden)'!B53)</f>
        <v xml:space="preserve"> </v>
      </c>
      <c r="F60" s="288" t="e">
        <f>'Solution 1, (hidden)'!W53</f>
        <v>#N/A</v>
      </c>
      <c r="G60" s="288" t="e">
        <f>'Solution  2, (hidden)'!W53</f>
        <v>#N/A</v>
      </c>
      <c r="H60" s="288" t="e">
        <f>'Solution 1, (hidden)'!R53</f>
        <v>#N/A</v>
      </c>
      <c r="I60" s="288" t="e">
        <f>'Solution  2, (hidden)'!R53</f>
        <v>#N/A</v>
      </c>
      <c r="J60" s="287" t="e">
        <f>'Solution 1, (hidden) (2)'!R53</f>
        <v>#N/A</v>
      </c>
      <c r="K60" s="287" t="e">
        <f>'Solution  2, (hidden) (2)'!R53</f>
        <v>#N/A</v>
      </c>
      <c r="L60" s="30" t="str">
        <f>IF('4. Cash flow '!E60&lt;('2. Inputs and results'!$B$21+1),'Solution 1, (hidden)'!C53-'Solution 1, (hidden)'!M53," ")</f>
        <v xml:space="preserve"> </v>
      </c>
      <c r="M60" s="30" t="str">
        <f>IF(E60&lt;('2. Inputs and results'!$C$21+1),'Solution  2, (hidden)'!C53-'Solution  2, (hidden)'!M53," ")</f>
        <v xml:space="preserve"> </v>
      </c>
      <c r="N60" s="24" t="str">
        <f>IF('4. Cash flow '!E60&lt;('2. Inputs and results'!$B$21+1),'Solution 1, (hidden)'!G53+'Solution 1, (hidden)'!I53+'Solution 1, (hidden)'!H53+'Solution 1, (hidden)'!J53-'Solution 1, (hidden)'!M53," ")</f>
        <v xml:space="preserve"> </v>
      </c>
      <c r="O60" s="24" t="str">
        <f>IF(E60&lt;('2. Inputs and results'!$C$21+1),'Solution  2, (hidden)'!G53+'Solution  2, (hidden)'!I53+'Solution  2, (hidden)'!H53+'Solution  2, (hidden)'!J53-'Solution  2, (hidden)'!M53," ")</f>
        <v xml:space="preserve"> </v>
      </c>
      <c r="P60" s="24" t="str">
        <f>IF('4. Cash flow '!E60&lt;('2. Inputs and results'!$B$21+1),'Solution 1, (hidden) (2)'!G53+'Solution 1, (hidden) (2)'!I53+'Solution 1, (hidden) (2)'!H53+'Solution 1, (hidden) (2)'!J53-'Solution 1, (hidden) (2)'!M53," ")</f>
        <v xml:space="preserve"> </v>
      </c>
      <c r="Q60" s="24" t="str">
        <f>IF(E60&lt;('2. Inputs and results'!$C$21+1),'Solution  2, (hidden) (2)'!G53+'Solution  2, (hidden) (2)'!I53+'Solution  2, (hidden) (2)'!H53+'Solution  2, (hidden) (2)'!J53-'Solution  2, (hidden) (2)'!M53," ")</f>
        <v xml:space="preserve"> </v>
      </c>
    </row>
    <row r="61" spans="3:17" x14ac:dyDescent="0.25">
      <c r="C61" s="285" t="str">
        <f>'Solution 1, (hidden)'!B54</f>
        <v xml:space="preserve"> </v>
      </c>
      <c r="D61" s="285" t="str">
        <f>'Solution  2, (hidden)'!B54</f>
        <v xml:space="preserve"> </v>
      </c>
      <c r="E61" s="285" t="str">
        <f>IF('2. Inputs and results'!$C$21&gt;='2. Inputs and results'!$B$21,'Solution  2, (hidden)'!B54,'Solution 1, (hidden)'!B54)</f>
        <v xml:space="preserve"> </v>
      </c>
      <c r="F61" s="288" t="e">
        <f>'Solution 1, (hidden)'!W54</f>
        <v>#N/A</v>
      </c>
      <c r="G61" s="288" t="e">
        <f>'Solution  2, (hidden)'!W54</f>
        <v>#N/A</v>
      </c>
      <c r="H61" s="288" t="e">
        <f>'Solution 1, (hidden)'!R54</f>
        <v>#N/A</v>
      </c>
      <c r="I61" s="288" t="e">
        <f>'Solution  2, (hidden)'!R54</f>
        <v>#N/A</v>
      </c>
      <c r="J61" s="287" t="e">
        <f>'Solution 1, (hidden) (2)'!R54</f>
        <v>#N/A</v>
      </c>
      <c r="K61" s="287" t="e">
        <f>'Solution  2, (hidden) (2)'!R54</f>
        <v>#N/A</v>
      </c>
      <c r="L61" s="30" t="str">
        <f>IF('4. Cash flow '!E61&lt;('2. Inputs and results'!$B$21+1),'Solution 1, (hidden)'!C54-'Solution 1, (hidden)'!M54," ")</f>
        <v xml:space="preserve"> </v>
      </c>
      <c r="M61" s="30" t="str">
        <f>IF(E61&lt;('2. Inputs and results'!$C$21+1),'Solution  2, (hidden)'!C54-'Solution  2, (hidden)'!M54," ")</f>
        <v xml:space="preserve"> </v>
      </c>
      <c r="N61" s="24" t="str">
        <f>IF('4. Cash flow '!E61&lt;('2. Inputs and results'!$B$21+1),'Solution 1, (hidden)'!G54+'Solution 1, (hidden)'!I54+'Solution 1, (hidden)'!H54+'Solution 1, (hidden)'!J54-'Solution 1, (hidden)'!M54," ")</f>
        <v xml:space="preserve"> </v>
      </c>
      <c r="O61" s="24" t="str">
        <f>IF(E61&lt;('2. Inputs and results'!$C$21+1),'Solution  2, (hidden)'!G54+'Solution  2, (hidden)'!I54+'Solution  2, (hidden)'!H54+'Solution  2, (hidden)'!J54-'Solution  2, (hidden)'!M54," ")</f>
        <v xml:space="preserve"> </v>
      </c>
      <c r="P61" s="24" t="str">
        <f>IF('4. Cash flow '!E61&lt;('2. Inputs and results'!$B$21+1),'Solution 1, (hidden) (2)'!G54+'Solution 1, (hidden) (2)'!I54+'Solution 1, (hidden) (2)'!H54+'Solution 1, (hidden) (2)'!J54-'Solution 1, (hidden) (2)'!M54," ")</f>
        <v xml:space="preserve"> </v>
      </c>
      <c r="Q61" s="24" t="str">
        <f>IF(E61&lt;('2. Inputs and results'!$C$21+1),'Solution  2, (hidden) (2)'!G54+'Solution  2, (hidden) (2)'!I54+'Solution  2, (hidden) (2)'!H54+'Solution  2, (hidden) (2)'!J54-'Solution  2, (hidden) (2)'!M54," ")</f>
        <v xml:space="preserve"> </v>
      </c>
    </row>
    <row r="62" spans="3:17" x14ac:dyDescent="0.25">
      <c r="C62" s="285" t="str">
        <f>'Solution 1, (hidden)'!B55</f>
        <v xml:space="preserve"> </v>
      </c>
      <c r="D62" s="285" t="str">
        <f>'Solution  2, (hidden)'!B55</f>
        <v xml:space="preserve"> </v>
      </c>
      <c r="E62" s="285" t="str">
        <f>IF('2. Inputs and results'!$C$21&gt;='2. Inputs and results'!$B$21,'Solution  2, (hidden)'!B55,'Solution 1, (hidden)'!B55)</f>
        <v xml:space="preserve"> </v>
      </c>
      <c r="F62" s="288" t="e">
        <f>'Solution 1, (hidden)'!W55</f>
        <v>#N/A</v>
      </c>
      <c r="G62" s="288" t="e">
        <f>'Solution  2, (hidden)'!W55</f>
        <v>#N/A</v>
      </c>
      <c r="H62" s="288" t="e">
        <f>'Solution 1, (hidden)'!R55</f>
        <v>#N/A</v>
      </c>
      <c r="I62" s="288" t="e">
        <f>'Solution  2, (hidden)'!R55</f>
        <v>#N/A</v>
      </c>
      <c r="J62" s="287" t="e">
        <f>'Solution 1, (hidden) (2)'!R55</f>
        <v>#N/A</v>
      </c>
      <c r="K62" s="287"/>
      <c r="L62" s="30" t="str">
        <f>IF('4. Cash flow '!E62&lt;('2. Inputs and results'!$B$21+1),'Solution 1, (hidden)'!C55-'Solution 1, (hidden)'!M55," ")</f>
        <v xml:space="preserve"> </v>
      </c>
      <c r="M62" s="30" t="str">
        <f>IF(E62&lt;('2. Inputs and results'!$C$21+1),'Solution  2, (hidden)'!C55-'Solution  2, (hidden)'!M55," ")</f>
        <v xml:space="preserve"> </v>
      </c>
      <c r="N62" s="24" t="str">
        <f>IF('4. Cash flow '!E62&lt;('2. Inputs and results'!$B$21+1),'Solution 1, (hidden)'!G55+'Solution 1, (hidden)'!I55+'Solution 1, (hidden)'!H55-'Solution 1, (hidden)'!M55," ")</f>
        <v xml:space="preserve"> </v>
      </c>
      <c r="O62" s="24" t="str">
        <f>IF(E62&lt;('2. Inputs and results'!$C$21+1),'Solution  2, (hidden)'!G55+'Solution  2, (hidden)'!I55+'Solution  2, (hidden)'!H55-'Solution  2, (hidden)'!M55," ")</f>
        <v xml:space="preserve"> </v>
      </c>
      <c r="P62" s="24" t="str">
        <f>IF('4. Cash flow '!E62&lt;('2. Inputs and results'!$B$21+1),'Solution 1, (hidden) (2)'!G55+'Solution 1, (hidden) (2)'!I55+'Solution 1, (hidden) (2)'!H55+'Solution 1, (hidden) (2)'!J55-'Solution 1, (hidden) (2)'!M55," ")</f>
        <v xml:space="preserve"> </v>
      </c>
    </row>
    <row r="63" spans="3:17" x14ac:dyDescent="0.25">
      <c r="F63" s="30"/>
      <c r="G63" s="30"/>
      <c r="H63" s="30"/>
      <c r="I63" s="30"/>
      <c r="L63" s="31"/>
    </row>
  </sheetData>
  <sheetProtection sheet="1" objects="1" scenarios="1"/>
  <conditionalFormatting sqref="E10:I62 L12:M62 L10:M10">
    <cfRule type="containsErrors" dxfId="42" priority="8">
      <formula>ISERROR(E10)</formula>
    </cfRule>
  </conditionalFormatting>
  <conditionalFormatting sqref="J1:K1048576">
    <cfRule type="cellIs" dxfId="41" priority="7" operator="equal">
      <formula>"PUUTTUU"</formula>
    </cfRule>
  </conditionalFormatting>
  <conditionalFormatting sqref="J1:K1048576">
    <cfRule type="cellIs" dxfId="40" priority="6" operator="equal">
      <formula>"#PUUTTUU! "</formula>
    </cfRule>
  </conditionalFormatting>
  <conditionalFormatting sqref="J1:K1048576">
    <cfRule type="cellIs" dxfId="39" priority="5" operator="equal">
      <formula>"#PUUTTUU!  "</formula>
    </cfRule>
  </conditionalFormatting>
  <conditionalFormatting sqref="J1:K1048576">
    <cfRule type="expression" dxfId="38" priority="4">
      <formula>#N/A</formula>
    </cfRule>
  </conditionalFormatting>
  <conditionalFormatting sqref="J1:J1048576">
    <cfRule type="cellIs" dxfId="37" priority="3" operator="equal">
      <formula>"#PUUTTUU! "</formula>
    </cfRule>
  </conditionalFormatting>
  <conditionalFormatting sqref="J1:K1048576">
    <cfRule type="containsErrors" dxfId="36" priority="2">
      <formula>ISERROR(J1)</formula>
    </cfRule>
  </conditionalFormatting>
  <conditionalFormatting sqref="F12:K62">
    <cfRule type="cellIs" dxfId="35" priority="1" operator="lessThan">
      <formula>0</formula>
    </cfRule>
  </conditionalFormatting>
  <pageMargins left="0.7" right="0.7" top="0.75" bottom="0.75" header="0.3" footer="0.3"/>
  <pageSetup paperSize="9" scale="3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ul9">
    <pageSetUpPr fitToPage="1"/>
  </sheetPr>
  <dimension ref="A1:K63"/>
  <sheetViews>
    <sheetView zoomScaleNormal="100" workbookViewId="0">
      <selection activeCell="D1" sqref="D1"/>
    </sheetView>
  </sheetViews>
  <sheetFormatPr defaultRowHeight="15" x14ac:dyDescent="0.25"/>
  <cols>
    <col min="1" max="1" width="37.28515625" customWidth="1"/>
    <col min="2" max="2" width="36.42578125" customWidth="1"/>
    <col min="3" max="3" width="11.42578125" customWidth="1"/>
    <col min="4" max="4" width="10.42578125" customWidth="1"/>
    <col min="5" max="5" width="7.5703125" customWidth="1"/>
    <col min="6" max="6" width="34.85546875" customWidth="1"/>
    <col min="7" max="7" width="29.28515625" customWidth="1"/>
    <col min="8" max="9" width="40.7109375" customWidth="1"/>
    <col min="10" max="10" width="41" customWidth="1"/>
    <col min="11" max="11" width="40.85546875" customWidth="1"/>
  </cols>
  <sheetData>
    <row r="1" spans="1:11" s="39" customFormat="1" ht="76.5" customHeight="1" thickBot="1" x14ac:dyDescent="0.45">
      <c r="D1" s="306" t="s">
        <v>306</v>
      </c>
    </row>
    <row r="2" spans="1:11" s="39" customFormat="1" ht="15.75" thickBot="1" x14ac:dyDescent="0.3">
      <c r="A2" s="279" t="s">
        <v>150</v>
      </c>
      <c r="B2" s="61" t="str">
        <f>'2. Inputs and results'!B5</f>
        <v>Building</v>
      </c>
    </row>
    <row r="3" spans="1:11" s="39" customFormat="1" ht="15.75" thickBot="1" x14ac:dyDescent="0.3">
      <c r="A3" s="282"/>
      <c r="B3" s="284"/>
    </row>
    <row r="4" spans="1:11" s="39" customFormat="1" ht="15.75" thickBot="1" x14ac:dyDescent="0.3">
      <c r="A4" s="282" t="s">
        <v>139</v>
      </c>
      <c r="B4" s="283" t="str">
        <f>'2. Inputs and results'!B6</f>
        <v>Housing/ Residential building</v>
      </c>
    </row>
    <row r="5" spans="1:11" s="39" customFormat="1" ht="15.75" thickBot="1" x14ac:dyDescent="0.3">
      <c r="A5" s="282"/>
      <c r="B5" s="284"/>
    </row>
    <row r="6" spans="1:11" s="39" customFormat="1" ht="15.75" thickBot="1" x14ac:dyDescent="0.3">
      <c r="A6" s="282" t="s">
        <v>54</v>
      </c>
      <c r="B6" s="283" t="str">
        <f>'2. Inputs and results'!B8</f>
        <v>District heating</v>
      </c>
    </row>
    <row r="7" spans="1:11" s="39" customFormat="1" ht="15.75" thickBot="1" x14ac:dyDescent="0.3">
      <c r="A7" s="282" t="s">
        <v>93</v>
      </c>
      <c r="B7" s="283" t="str">
        <f>'2. Inputs and results'!B9</f>
        <v>Other</v>
      </c>
    </row>
    <row r="8" spans="1:11" s="39" customFormat="1" ht="15.75" thickBot="1" x14ac:dyDescent="0.3">
      <c r="A8" s="281" t="s">
        <v>104</v>
      </c>
      <c r="B8" s="63" t="str">
        <f>'2. Inputs and results'!B10</f>
        <v>None</v>
      </c>
    </row>
    <row r="9" spans="1:11" x14ac:dyDescent="0.25">
      <c r="C9" s="285"/>
      <c r="D9" s="285"/>
      <c r="E9" s="285"/>
      <c r="F9" s="286" t="s">
        <v>112</v>
      </c>
      <c r="G9" s="286" t="s">
        <v>113</v>
      </c>
      <c r="H9" s="286" t="s">
        <v>221</v>
      </c>
      <c r="I9" s="286" t="s">
        <v>222</v>
      </c>
      <c r="J9" s="286" t="s">
        <v>223</v>
      </c>
      <c r="K9" s="286" t="s">
        <v>224</v>
      </c>
    </row>
    <row r="10" spans="1:11" x14ac:dyDescent="0.25">
      <c r="C10" s="286" t="s">
        <v>114</v>
      </c>
      <c r="D10" s="286" t="s">
        <v>115</v>
      </c>
      <c r="E10" s="286" t="s">
        <v>49</v>
      </c>
      <c r="F10" s="286" t="str">
        <f>'2. Inputs and results'!B19</f>
        <v xml:space="preserve">Ventilation system with heat recovery </v>
      </c>
      <c r="G10" s="286" t="str">
        <f>'2. Inputs and results'!C19</f>
        <v>Geothermal heat pump system</v>
      </c>
      <c r="H10" s="286" t="str">
        <f>'2. Inputs and results'!B19</f>
        <v xml:space="preserve">Ventilation system with heat recovery </v>
      </c>
      <c r="I10" s="286" t="str">
        <f>'2. Inputs and results'!C19</f>
        <v>Geothermal heat pump system</v>
      </c>
      <c r="J10" s="286" t="str">
        <f>'2. Inputs and results'!B19</f>
        <v xml:space="preserve">Ventilation system with heat recovery </v>
      </c>
      <c r="K10" s="286" t="str">
        <f>'2. Inputs and results'!C19</f>
        <v>Geothermal heat pump system</v>
      </c>
    </row>
    <row r="11" spans="1:11" x14ac:dyDescent="0.25">
      <c r="C11" s="285"/>
      <c r="D11" s="285"/>
      <c r="E11" s="285"/>
      <c r="F11" s="285"/>
      <c r="G11" s="285"/>
      <c r="H11" s="286"/>
      <c r="I11" s="286"/>
      <c r="J11" s="286"/>
      <c r="K11" s="286"/>
    </row>
    <row r="12" spans="1:11" x14ac:dyDescent="0.25">
      <c r="C12" s="285">
        <f>'Solution 1, (hidden)'!B5</f>
        <v>0</v>
      </c>
      <c r="D12" s="285">
        <f>'Solution  2, (hidden)'!B5</f>
        <v>0</v>
      </c>
      <c r="E12" s="285">
        <f>IF('2. Inputs and results'!$C$21&gt;='2. Inputs and results'!$B$21,'Solution  2, (hidden)'!B5,'Solution 1, (hidden)'!B5)</f>
        <v>0</v>
      </c>
      <c r="F12" s="287">
        <f>'Solution 1, (hidden)'!Z5</f>
        <v>-156400</v>
      </c>
      <c r="G12" s="287">
        <f>'Solution  2, (hidden)'!Z5</f>
        <v>-212500</v>
      </c>
      <c r="H12" s="287">
        <f>'Solution 1, (hidden)'!U5</f>
        <v>-156400</v>
      </c>
      <c r="I12" s="287">
        <f>'Solution  2, (hidden)'!U5</f>
        <v>-212500</v>
      </c>
      <c r="J12" s="287">
        <f>'Solution 1, (hidden) (2)'!U5</f>
        <v>-156400</v>
      </c>
      <c r="K12" s="287">
        <f>'Solution  2, (hidden) (2)'!U5</f>
        <v>-212500</v>
      </c>
    </row>
    <row r="13" spans="1:11" x14ac:dyDescent="0.25">
      <c r="C13" s="285">
        <f>'Solution 1, (hidden)'!B6</f>
        <v>1</v>
      </c>
      <c r="D13" s="285">
        <f>'Solution  2, (hidden)'!B6</f>
        <v>1</v>
      </c>
      <c r="E13" s="285">
        <f>IF('2. Inputs and results'!$C$21&gt;='2. Inputs and results'!$B$21,'Solution  2, (hidden)'!B6,'Solution 1, (hidden)'!B6)</f>
        <v>1</v>
      </c>
      <c r="F13" s="287">
        <f>'Solution 1, (hidden)'!Z6</f>
        <v>-150157.69230769231</v>
      </c>
      <c r="G13" s="287">
        <f>'Solution  2, (hidden)'!Z6</f>
        <v>-195336.53846153847</v>
      </c>
      <c r="H13" s="287">
        <f>'Solution 1, (hidden)'!U6</f>
        <v>-150157.69230769231</v>
      </c>
      <c r="I13" s="287">
        <f>'Solution  2, (hidden)'!U6</f>
        <v>-195336.53846153847</v>
      </c>
      <c r="J13" s="287">
        <f>'Solution 1, (hidden) (2)'!U6</f>
        <v>-150157.69230769231</v>
      </c>
      <c r="K13" s="287">
        <f>'Solution  2, (hidden) (2)'!U6</f>
        <v>-195336.53846153847</v>
      </c>
    </row>
    <row r="14" spans="1:11" x14ac:dyDescent="0.25">
      <c r="C14" s="285">
        <f>'Solution 1, (hidden)'!B7</f>
        <v>2</v>
      </c>
      <c r="D14" s="285">
        <f>'Solution  2, (hidden)'!B7</f>
        <v>2</v>
      </c>
      <c r="E14" s="285">
        <f>IF('2. Inputs and results'!$C$21&gt;='2. Inputs and results'!$B$21,'Solution  2, (hidden)'!B7,'Solution 1, (hidden)'!B7)</f>
        <v>2</v>
      </c>
      <c r="F14" s="287">
        <f>'Solution 1, (hidden)'!Z7</f>
        <v>-144035.42899408285</v>
      </c>
      <c r="G14" s="287">
        <f>'Solution  2, (hidden)'!Z7</f>
        <v>-178503.14349112427</v>
      </c>
      <c r="H14" s="287">
        <f>'Solution 1, (hidden)'!U7</f>
        <v>-143717.56656804733</v>
      </c>
      <c r="I14" s="287">
        <f>'Solution  2, (hidden)'!U7</f>
        <v>-177820.82100591715</v>
      </c>
      <c r="J14" s="287">
        <f>'Solution 1, (hidden) (2)'!U7</f>
        <v>-143399.70414201185</v>
      </c>
      <c r="K14" s="287">
        <f>'Solution  2, (hidden) (2)'!U7</f>
        <v>-177138.49852071007</v>
      </c>
    </row>
    <row r="15" spans="1:11" x14ac:dyDescent="0.25">
      <c r="C15" s="285">
        <f>'Solution 1, (hidden)'!B8</f>
        <v>3</v>
      </c>
      <c r="D15" s="285">
        <f>'Solution  2, (hidden)'!B8</f>
        <v>3</v>
      </c>
      <c r="E15" s="285">
        <f>IF('2. Inputs and results'!$C$21&gt;='2. Inputs and results'!$B$21,'Solution  2, (hidden)'!B8,'Solution 1, (hidden)'!B8)</f>
        <v>3</v>
      </c>
      <c r="F15" s="287">
        <f>'Solution 1, (hidden)'!Z8</f>
        <v>-138030.90151342741</v>
      </c>
      <c r="G15" s="287">
        <f>'Solution  2, (hidden)'!Z8</f>
        <v>-161993.4676547565</v>
      </c>
      <c r="H15" s="287">
        <f>'Solution 1, (hidden)'!U8</f>
        <v>-137086.48334376421</v>
      </c>
      <c r="I15" s="287">
        <f>'Solution  2, (hidden)'!U8</f>
        <v>-159966.18257851616</v>
      </c>
      <c r="J15" s="287">
        <f>'Solution 1, (hidden) (2)'!U8</f>
        <v>-136123.72695721439</v>
      </c>
      <c r="K15" s="287">
        <f>'Solution  2, (hidden) (2)'!U8</f>
        <v>-157899.5327435139</v>
      </c>
    </row>
    <row r="16" spans="1:11" x14ac:dyDescent="0.25">
      <c r="C16" s="285">
        <f>'Solution 1, (hidden)'!B9</f>
        <v>4</v>
      </c>
      <c r="D16" s="285">
        <f>'Solution  2, (hidden)'!B9</f>
        <v>4</v>
      </c>
      <c r="E16" s="285">
        <f>IF('2. Inputs and results'!$C$21&gt;='2. Inputs and results'!$B$21,'Solution  2, (hidden)'!B9,'Solution 1, (hidden)'!B9)</f>
        <v>4</v>
      </c>
      <c r="F16" s="287">
        <f>'Solution 1, (hidden)'!Z9</f>
        <v>-132141.84571509226</v>
      </c>
      <c r="G16" s="287">
        <f>'Solution  2, (hidden)'!Z9</f>
        <v>-145801.28558447273</v>
      </c>
      <c r="H16" s="287">
        <f>'Solution 1, (hidden)'!U9</f>
        <v>-130271.14187547594</v>
      </c>
      <c r="I16" s="287">
        <f>'Solution  2, (hidden)'!U9</f>
        <v>-141785.63859890893</v>
      </c>
      <c r="J16" s="287">
        <f>'Solution 1, (hidden) (2)'!U9</f>
        <v>-128327.26149732152</v>
      </c>
      <c r="K16" s="287">
        <f>'Solution  2, (hidden) (2)'!U9</f>
        <v>-137612.91108559314</v>
      </c>
    </row>
    <row r="17" spans="3:11" x14ac:dyDescent="0.25">
      <c r="C17" s="285">
        <f>'Solution 1, (hidden)'!B10</f>
        <v>5</v>
      </c>
      <c r="D17" s="285">
        <f>'Solution  2, (hidden)'!B10</f>
        <v>5</v>
      </c>
      <c r="E17" s="285">
        <f>IF('2. Inputs and results'!$C$21&gt;='2. Inputs and results'!$B$21,'Solution  2, (hidden)'!B10,'Solution 1, (hidden)'!B10)</f>
        <v>5</v>
      </c>
      <c r="F17" s="287">
        <f>'Solution 1, (hidden)'!Z10</f>
        <v>-126366.04098980203</v>
      </c>
      <c r="G17" s="287">
        <f>'Solution  2, (hidden)'!Z10</f>
        <v>-129920.49163092519</v>
      </c>
      <c r="H17" s="287">
        <f>'Solution 1, (hidden)'!U10</f>
        <v>-123278.08346667532</v>
      </c>
      <c r="I17" s="287">
        <f>'Solution  2, (hidden)'!U10</f>
        <v>-123291.89171217155</v>
      </c>
      <c r="J17" s="287">
        <f>'Solution 1, (hidden) (2)'!U10</f>
        <v>-120007.61694236846</v>
      </c>
      <c r="K17" s="287">
        <f>'Solution  2, (hidden) (2)'!U10</f>
        <v>-116271.51854481125</v>
      </c>
    </row>
    <row r="18" spans="3:11" x14ac:dyDescent="0.25">
      <c r="C18" s="285">
        <f>'Solution 1, (hidden)'!B11</f>
        <v>6</v>
      </c>
      <c r="D18" s="285">
        <f>'Solution  2, (hidden)'!B11</f>
        <v>6</v>
      </c>
      <c r="E18" s="285">
        <f>IF('2. Inputs and results'!$C$21&gt;='2. Inputs and results'!$B$21,'Solution  2, (hidden)'!B11,'Solution 1, (hidden)'!B11)</f>
        <v>6</v>
      </c>
      <c r="F18" s="287">
        <f>'Solution 1, (hidden)'!Z11</f>
        <v>-120701.30943230583</v>
      </c>
      <c r="G18" s="287">
        <f>'Solution  2, (hidden)'!Z11</f>
        <v>-114345.09756109971</v>
      </c>
      <c r="H18" s="287">
        <f>'Solution 1, (hidden)'!U11</f>
        <v>-116113.69480082911</v>
      </c>
      <c r="I18" s="287">
        <f>'Solution  2, (hidden)'!U11</f>
        <v>-104497.33840452664</v>
      </c>
      <c r="J18" s="287">
        <f>'Solution 1, (hidden) (2)'!U11</f>
        <v>-111161.90998412299</v>
      </c>
      <c r="K18" s="287">
        <f>'Solution  2, (hidden) (2)'!U11</f>
        <v>-93867.852672330249</v>
      </c>
    </row>
    <row r="19" spans="3:11" x14ac:dyDescent="0.25">
      <c r="C19" s="285">
        <f>'Solution 1, (hidden)'!B12</f>
        <v>7</v>
      </c>
      <c r="D19" s="285">
        <f>'Solution  2, (hidden)'!B12</f>
        <v>7</v>
      </c>
      <c r="E19" s="285">
        <f>IF('2. Inputs and results'!$C$21&gt;='2. Inputs and results'!$B$21,'Solution  2, (hidden)'!B12,'Solution 1, (hidden)'!B12)</f>
        <v>7</v>
      </c>
      <c r="F19" s="287">
        <f>'Solution 1, (hidden)'!Z12</f>
        <v>-115145.51502014611</v>
      </c>
      <c r="G19" s="287">
        <f>'Solution  2, (hidden)'!Z12</f>
        <v>-99069.23030030934</v>
      </c>
      <c r="H19" s="287">
        <f>'Solution 1, (hidden)'!U12</f>
        <v>-108784.21119201051</v>
      </c>
      <c r="I19" s="287">
        <f>'Solution  2, (hidden)'!U12</f>
        <v>-85414.075485986847</v>
      </c>
      <c r="J19" s="287">
        <f>'Solution 1, (hidden) (2)'!U12</f>
        <v>-101787.06383095976</v>
      </c>
      <c r="K19" s="287">
        <f>'Solution  2, (hidden) (2)'!U12</f>
        <v>-70394.020941322902</v>
      </c>
    </row>
    <row r="20" spans="3:11" x14ac:dyDescent="0.25">
      <c r="C20" s="285">
        <f>'Solution 1, (hidden)'!B13</f>
        <v>8</v>
      </c>
      <c r="D20" s="285">
        <f>'Solution  2, (hidden)'!B13</f>
        <v>8</v>
      </c>
      <c r="E20" s="285">
        <f>IF('2. Inputs and results'!$C$21&gt;='2. Inputs and results'!$B$21,'Solution  2, (hidden)'!B13,'Solution 1, (hidden)'!B13)</f>
        <v>8</v>
      </c>
      <c r="F20" s="287">
        <f>'Solution 1, (hidden)'!Z13</f>
        <v>-109696.56280822022</v>
      </c>
      <c r="G20" s="287">
        <f>'Solution  2, (hidden)'!Z13</f>
        <v>-84087.129717611097</v>
      </c>
      <c r="H20" s="287">
        <f>'Solution 1, (hidden)'!U13</f>
        <v>-101295.71977035442</v>
      </c>
      <c r="I20" s="287">
        <f>'Solution  2, (hidden)'!U13</f>
        <v>-66053.906442611187</v>
      </c>
      <c r="J20" s="287">
        <f>'Solution 1, (hidden) (2)'!U13</f>
        <v>-91879.807141548052</v>
      </c>
      <c r="K20" s="287">
        <f>'Solution  2, (hidden) (2)'!U13</f>
        <v>-45841.737972398536</v>
      </c>
    </row>
    <row r="21" spans="3:11" x14ac:dyDescent="0.25">
      <c r="C21" s="285">
        <f>'Solution 1, (hidden)'!B14</f>
        <v>9</v>
      </c>
      <c r="D21" s="285">
        <f>'Solution  2, (hidden)'!B14</f>
        <v>9</v>
      </c>
      <c r="E21" s="285">
        <f>IF('2. Inputs and results'!$C$21&gt;='2. Inputs and results'!$B$21,'Solution  2, (hidden)'!B14,'Solution 1, (hidden)'!B14)</f>
        <v>9</v>
      </c>
      <c r="F21" s="287">
        <f>'Solution 1, (hidden)'!Z14</f>
        <v>-104352.39813883137</v>
      </c>
      <c r="G21" s="287">
        <f>'Solution  2, (hidden)'!Z14</f>
        <v>-69393.146453810885</v>
      </c>
      <c r="H21" s="287">
        <f>'Solution 1, (hidden)'!U14</f>
        <v>-93654.162603614444</v>
      </c>
      <c r="I21" s="287">
        <f>'Solution  2, (hidden)'!U14</f>
        <v>-46428.34766093683</v>
      </c>
      <c r="J21" s="287">
        <f>'Solution 1, (hidden) (2)'!U14</f>
        <v>-81436.672886985078</v>
      </c>
      <c r="K21" s="287">
        <f>'Solution  2, (hidden) (2)'!U14</f>
        <v>-20202.322614769033</v>
      </c>
    </row>
    <row r="22" spans="3:11" x14ac:dyDescent="0.25">
      <c r="C22" s="285">
        <f>'Solution 1, (hidden)'!B15</f>
        <v>10</v>
      </c>
      <c r="D22" s="285">
        <f>'Solution  2, (hidden)'!B15</f>
        <v>10</v>
      </c>
      <c r="E22" s="285">
        <f>IF('2. Inputs and results'!$C$21&gt;='2. Inputs and results'!$B$21,'Solution  2, (hidden)'!B15,'Solution 1, (hidden)'!B15)</f>
        <v>10</v>
      </c>
      <c r="F22" s="287">
        <f>'Solution 1, (hidden)'!Z15</f>
        <v>-99111.005866930762</v>
      </c>
      <c r="G22" s="287">
        <f>'Solution  2, (hidden)'!Z15</f>
        <v>-54981.739791237604</v>
      </c>
      <c r="H22" s="287">
        <f>'Solution 1, (hidden)'!U15</f>
        <v>-85865.33975607586</v>
      </c>
      <c r="I22" s="287">
        <f>'Solution  2, (hidden)'!U15</f>
        <v>-26548.634527098751</v>
      </c>
      <c r="J22" s="287">
        <f>'Solution 1, (hidden) (2)'!U15</f>
        <v>-70453.997140980355</v>
      </c>
      <c r="K22" s="287">
        <f>'Solution  2, (hidden) (2)'!U15</f>
        <v>6186.0126008747793</v>
      </c>
    </row>
    <row r="23" spans="3:11" x14ac:dyDescent="0.25">
      <c r="C23" s="285">
        <f>'Solution 1, (hidden)'!B16</f>
        <v>11</v>
      </c>
      <c r="D23" s="285">
        <f>'Solution  2, (hidden)'!B16</f>
        <v>11</v>
      </c>
      <c r="E23" s="285">
        <f>IF('2. Inputs and results'!$C$21&gt;='2. Inputs and results'!$B$21,'Solution  2, (hidden)'!B16,'Solution 1, (hidden)'!B16)</f>
        <v>11</v>
      </c>
      <c r="F23" s="287">
        <f>'Solution 1, (hidden)'!Z16</f>
        <v>-93970.409600259023</v>
      </c>
      <c r="G23" s="287">
        <f>'Solution  2, (hidden)'!Z16</f>
        <v>-40847.475564483044</v>
      </c>
      <c r="H23" s="287">
        <f>'Solution 1, (hidden)'!U16</f>
        <v>-77934.912286054358</v>
      </c>
      <c r="I23" s="287">
        <f>'Solution  2, (hidden)'!U16</f>
        <v>-6697.2184965246888</v>
      </c>
      <c r="J23" s="287">
        <f>'Solution 1, (hidden) (2)'!U16</f>
        <v>-58927.917797670532</v>
      </c>
      <c r="K23" s="287">
        <f>'Solution  2, (hidden) (2)'!U16</f>
        <v>33179.25294116931</v>
      </c>
    </row>
    <row r="24" spans="3:11" x14ac:dyDescent="0.25">
      <c r="C24" s="285">
        <f>'Solution 1, (hidden)'!B17</f>
        <v>12</v>
      </c>
      <c r="D24" s="285">
        <f>'Solution  2, (hidden)'!B17</f>
        <v>12</v>
      </c>
      <c r="E24" s="285">
        <f>IF('2. Inputs and results'!$C$21&gt;='2. Inputs and results'!$B$21,'Solution  2, (hidden)'!B17,'Solution 1, (hidden)'!B17)</f>
        <v>12</v>
      </c>
      <c r="F24" s="287">
        <f>'Solution 1, (hidden)'!Z17</f>
        <v>-88928.670954100206</v>
      </c>
      <c r="G24" s="287">
        <f>'Solution  2, (hidden)'!Z17</f>
        <v>-27043.880768763604</v>
      </c>
      <c r="H24" s="287">
        <f>'Solution 1, (hidden)'!U17</f>
        <v>-69868.405183186565</v>
      </c>
      <c r="I24" s="287">
        <f>'Solution  2, (hidden)'!U17</f>
        <v>13010.163312473891</v>
      </c>
      <c r="J24" s="287">
        <f>'Solution 1, (hidden) (2)'!U17</f>
        <v>-46854.373216616987</v>
      </c>
      <c r="K24" s="287">
        <f>'Solution  2, (hidden) (2)'!U17</f>
        <v>60785.28361467574</v>
      </c>
    </row>
    <row r="25" spans="3:11" x14ac:dyDescent="0.25">
      <c r="C25" s="285">
        <f>'Solution 1, (hidden)'!B18</f>
        <v>13</v>
      </c>
      <c r="D25" s="285">
        <f>'Solution  2, (hidden)'!B18</f>
        <v>13</v>
      </c>
      <c r="E25" s="285">
        <f>IF('2. Inputs and results'!$C$21&gt;='2. Inputs and results'!$B$21,'Solution  2, (hidden)'!B18,'Solution 1, (hidden)'!B18)</f>
        <v>13</v>
      </c>
      <c r="F25" s="287">
        <f>'Solution 1, (hidden)'!Z18</f>
        <v>-83983.888820367516</v>
      </c>
      <c r="G25" s="287">
        <f>'Solution  2, (hidden)'!Z18</f>
        <v>-13771.19346518722</v>
      </c>
      <c r="H25" s="287">
        <f>'Solution 1, (hidden)'!U18</f>
        <v>-61671.210246694762</v>
      </c>
      <c r="I25" s="287">
        <f>'Solution  2, (hidden)'!U18</f>
        <v>32573.094122076818</v>
      </c>
      <c r="J25" s="287">
        <f>'Solution 1, (hidden) (2)'!U18</f>
        <v>-34229.100794512284</v>
      </c>
      <c r="K25" s="287">
        <f>'Solution  2, (hidden) (2)'!U18</f>
        <v>89012.2856063621</v>
      </c>
    </row>
    <row r="26" spans="3:11" x14ac:dyDescent="0.25">
      <c r="C26" s="285">
        <f>'Solution 1, (hidden)'!B19</f>
        <v>14</v>
      </c>
      <c r="D26" s="285">
        <f>'Solution  2, (hidden)'!B19</f>
        <v>14</v>
      </c>
      <c r="E26" s="285">
        <f>IF('2. Inputs and results'!$C$21&gt;='2. Inputs and results'!$B$21,'Solution  2, (hidden)'!B19,'Solution 1, (hidden)'!B19)</f>
        <v>14</v>
      </c>
      <c r="F26" s="287">
        <f>'Solution 1, (hidden)'!Z19</f>
        <v>-79134.198650745064</v>
      </c>
      <c r="G26" s="287">
        <f>'Solution  2, (hidden)'!Z19</f>
        <v>-1008.9941348253124</v>
      </c>
      <c r="H26" s="287">
        <f>'Solution 1, (hidden)'!U19</f>
        <v>-53348.588905785342</v>
      </c>
      <c r="I26" s="287">
        <f>'Solution  2, (hidden)'!U19</f>
        <v>51991.230458952894</v>
      </c>
      <c r="J26" s="287">
        <f>'Solution 1, (hidden) (2)'!U19</f>
        <v>-21176.224841524745</v>
      </c>
      <c r="K26" s="287">
        <f>'Solution  2, (hidden) (2)'!U19</f>
        <v>117868.73582185032</v>
      </c>
    </row>
    <row r="27" spans="3:11" x14ac:dyDescent="0.25">
      <c r="C27" s="285">
        <f>'Solution 1, (hidden)'!B20</f>
        <v>15</v>
      </c>
      <c r="D27" s="285">
        <f>'Solution  2, (hidden)'!B20</f>
        <v>15</v>
      </c>
      <c r="E27" s="285">
        <f>IF('2. Inputs and results'!$C$21&gt;='2. Inputs and results'!$B$21,'Solution  2, (hidden)'!B20,'Solution 1, (hidden)'!B20)</f>
        <v>15</v>
      </c>
      <c r="F27" s="287">
        <f>'Solution 1, (hidden)'!Z20</f>
        <v>-74377.77175361535</v>
      </c>
      <c r="G27" s="287">
        <f>'Solution  2, (hidden)'!Z20</f>
        <v>11262.351375138061</v>
      </c>
      <c r="H27" s="287">
        <f>'Solution 1, (hidden)'!U20</f>
        <v>-44905.67498331808</v>
      </c>
      <c r="I27" s="287">
        <f>'Solution  2, (hidden)'!U20</f>
        <v>71264.298784139435</v>
      </c>
      <c r="J27" s="287">
        <f>'Solution 1, (hidden) (2)'!U20</f>
        <v>-7811.0308421878981</v>
      </c>
      <c r="K27" s="287">
        <f>'Solution  2, (hidden) (2)'!U20</f>
        <v>147363.40744765877</v>
      </c>
    </row>
    <row r="28" spans="3:11" x14ac:dyDescent="0.25">
      <c r="C28" s="285">
        <f>'Solution 1, (hidden)'!B21</f>
        <v>16</v>
      </c>
      <c r="D28" s="285">
        <f>'Solution  2, (hidden)'!B21</f>
        <v>16</v>
      </c>
      <c r="E28" s="285">
        <f>IF('2. Inputs and results'!$C$21&gt;='2. Inputs and results'!$B$21,'Solution  2, (hidden)'!B21,'Solution 1, (hidden)'!B21)</f>
        <v>16</v>
      </c>
      <c r="F28" s="287">
        <f>'Solution 1, (hidden)'!Z21</f>
        <v>-69712.814604507366</v>
      </c>
      <c r="G28" s="287">
        <f>'Solution  2, (hidden)'!Z21</f>
        <v>23061.722057795148</v>
      </c>
      <c r="H28" s="287">
        <f>'Solution 1, (hidden)'!U21</f>
        <v>-36355.505764711124</v>
      </c>
      <c r="I28" s="287">
        <f>'Solution  2, (hidden)'!U21</f>
        <v>90392.092257837154</v>
      </c>
      <c r="J28" s="287">
        <f>'Solution 1, (hidden) (2)'!U21</f>
        <v>5870.1295812703738</v>
      </c>
      <c r="K28" s="287">
        <f>'Solution  2, (hidden) (2)'!U21</f>
        <v>177505.37052339333</v>
      </c>
    </row>
    <row r="29" spans="3:11" x14ac:dyDescent="0.25">
      <c r="C29" s="285">
        <f>'Solution 1, (hidden)'!B22</f>
        <v>17</v>
      </c>
      <c r="D29" s="285">
        <f>'Solution  2, (hidden)'!B22</f>
        <v>17</v>
      </c>
      <c r="E29" s="285">
        <f>IF('2. Inputs and results'!$C$21&gt;='2. Inputs and results'!$B$21,'Solution  2, (hidden)'!B22,'Solution 1, (hidden)'!B22)</f>
        <v>17</v>
      </c>
      <c r="F29" s="287">
        <f>'Solution 1, (hidden)'!Z22</f>
        <v>-65137.568169805309</v>
      </c>
      <c r="G29" s="287">
        <f>'Solution  2, (hidden)'!Z22</f>
        <v>34407.27079111927</v>
      </c>
      <c r="H29" s="287">
        <f>'Solution 1, (hidden)'!U22</f>
        <v>-27859.211508496675</v>
      </c>
      <c r="I29" s="287">
        <f>'Solution  2, (hidden)'!U22</f>
        <v>109374.4676338805</v>
      </c>
      <c r="J29" s="287">
        <f>'Solution 1, (hidden) (2)'!U22</f>
        <v>19871.065649983339</v>
      </c>
      <c r="K29" s="287">
        <f>'Solution  2, (hidden) (2)'!U22</f>
        <v>208303.99272207747</v>
      </c>
    </row>
    <row r="30" spans="3:11" x14ac:dyDescent="0.25">
      <c r="C30" s="285">
        <f>'Solution 1, (hidden)'!B23</f>
        <v>18</v>
      </c>
      <c r="D30" s="285">
        <f>'Solution  2, (hidden)'!B23</f>
        <v>18</v>
      </c>
      <c r="E30" s="285">
        <f>IF('2. Inputs and results'!$C$21&gt;='2. Inputs and results'!$B$21,'Solution  2, (hidden)'!B23,'Solution 1, (hidden)'!B23)</f>
        <v>18</v>
      </c>
      <c r="F30" s="287">
        <f>'Solution 1, (hidden)'!Z23</f>
        <v>-60650.307243462899</v>
      </c>
      <c r="G30" s="287">
        <f>'Solution  2, (hidden)'!Z23</f>
        <v>45316.452265469386</v>
      </c>
      <c r="H30" s="287">
        <f>'Solution 1, (hidden)'!U23</f>
        <v>-19417.364117081386</v>
      </c>
      <c r="I30" s="287">
        <f>'Solution  2, (hidden)'!U23</f>
        <v>128211.34227884543</v>
      </c>
      <c r="J30" s="287">
        <f>'Solution 1, (hidden) (2)'!U23</f>
        <v>34195.747033808126</v>
      </c>
      <c r="K30" s="287">
        <f>'Solution  2, (hidden) (2)'!U23</f>
        <v>239768.94033504184</v>
      </c>
    </row>
    <row r="31" spans="3:11" x14ac:dyDescent="0.25">
      <c r="C31" s="285">
        <f>'Solution 1, (hidden)'!B24</f>
        <v>19</v>
      </c>
      <c r="D31" s="285">
        <f>'Solution  2, (hidden)'!B24</f>
        <v>19</v>
      </c>
      <c r="E31" s="285">
        <f>IF('2. Inputs and results'!$C$21&gt;='2. Inputs and results'!$B$21,'Solution  2, (hidden)'!B24,'Solution 1, (hidden)'!B24)</f>
        <v>19</v>
      </c>
      <c r="F31" s="287">
        <f>'Solution 1, (hidden)'!Z24</f>
        <v>-56249.339796473228</v>
      </c>
      <c r="G31" s="287">
        <f>'Solution  2, (hidden)'!Z24</f>
        <v>55806.049836959879</v>
      </c>
      <c r="H31" s="287">
        <f>'Solution 1, (hidden)'!U24</f>
        <v>-11030.488073391414</v>
      </c>
      <c r="I31" s="287">
        <f>'Solution  2, (hidden)'!U24</f>
        <v>146902.69131095093</v>
      </c>
      <c r="J31" s="287">
        <f>'Solution 1, (hidden) (2)'!U24</f>
        <v>48848.303583244589</v>
      </c>
      <c r="K31" s="287">
        <f>'Solution  2, (hidden) (2)'!U24</f>
        <v>271910.17945801676</v>
      </c>
    </row>
    <row r="32" spans="3:11" x14ac:dyDescent="0.25">
      <c r="C32" s="285">
        <f>'Solution 1, (hidden)'!B25</f>
        <v>20</v>
      </c>
      <c r="D32" s="285">
        <f>'Solution  2, (hidden)'!B25</f>
        <v>20</v>
      </c>
      <c r="E32" s="285">
        <f>IF('2. Inputs and results'!$C$21&gt;='2. Inputs and results'!$B$21,'Solution  2, (hidden)'!B25,'Solution 1, (hidden)'!B25)</f>
        <v>20</v>
      </c>
      <c r="F32" s="287">
        <f>'Solution 1, (hidden)'!Z25</f>
        <v>-51933.006338848747</v>
      </c>
      <c r="G32" s="287">
        <f>'Solution  2, (hidden)'!Z25</f>
        <v>65892.201348008428</v>
      </c>
      <c r="H32" s="287">
        <f>'Solution 1, (hidden)'!U25</f>
        <v>-2699.0625091527654</v>
      </c>
      <c r="I32" s="287">
        <f>'Solution  2, (hidden)'!U25</f>
        <v>165448.54485409745</v>
      </c>
      <c r="J32" s="287">
        <f>'Solution 1, (hidden) (2)'!U25</f>
        <v>63833.025185184684</v>
      </c>
      <c r="K32" s="287">
        <f>'Solution  2, (hidden) (2)'!U25</f>
        <v>304737.97737528681</v>
      </c>
    </row>
    <row r="33" spans="3:11" x14ac:dyDescent="0.25">
      <c r="C33" s="285" t="str">
        <f>'Solution 1, (hidden)'!B26</f>
        <v xml:space="preserve"> </v>
      </c>
      <c r="D33" s="285" t="str">
        <f>'Solution  2, (hidden)'!B26</f>
        <v xml:space="preserve"> </v>
      </c>
      <c r="E33" s="285" t="str">
        <f>IF('2. Inputs and results'!$C$21&gt;='2. Inputs and results'!$B$21,'Solution  2, (hidden)'!B26,'Solution 1, (hidden)'!B26)</f>
        <v xml:space="preserve"> </v>
      </c>
      <c r="F33" s="287" t="e">
        <f>'Solution 1, (hidden)'!Z26</f>
        <v>#N/A</v>
      </c>
      <c r="G33" s="287" t="e">
        <f>'Solution  2, (hidden)'!Z26</f>
        <v>#N/A</v>
      </c>
      <c r="H33" s="287" t="e">
        <f>'Solution 1, (hidden)'!U26</f>
        <v>#N/A</v>
      </c>
      <c r="I33" s="287" t="e">
        <f>'Solution  2, (hidden)'!U26</f>
        <v>#N/A</v>
      </c>
      <c r="J33" s="287" t="e">
        <f>'Solution 1, (hidden) (2)'!U26</f>
        <v>#N/A</v>
      </c>
      <c r="K33" s="287" t="e">
        <f>'Solution  2, (hidden) (2)'!U26</f>
        <v>#N/A</v>
      </c>
    </row>
    <row r="34" spans="3:11" x14ac:dyDescent="0.25">
      <c r="C34" s="285" t="str">
        <f>'Solution 1, (hidden)'!B27</f>
        <v xml:space="preserve"> </v>
      </c>
      <c r="D34" s="285" t="str">
        <f>'Solution  2, (hidden)'!B27</f>
        <v xml:space="preserve"> </v>
      </c>
      <c r="E34" s="285" t="str">
        <f>IF('2. Inputs and results'!$C$21&gt;='2. Inputs and results'!$B$21,'Solution  2, (hidden)'!B27,'Solution 1, (hidden)'!B27)</f>
        <v xml:space="preserve"> </v>
      </c>
      <c r="F34" s="287" t="e">
        <f>'Solution 1, (hidden)'!Z27</f>
        <v>#N/A</v>
      </c>
      <c r="G34" s="287" t="e">
        <f>'Solution  2, (hidden)'!Z27</f>
        <v>#N/A</v>
      </c>
      <c r="H34" s="287" t="e">
        <f>'Solution 1, (hidden)'!U27</f>
        <v>#N/A</v>
      </c>
      <c r="I34" s="287" t="e">
        <f>'Solution  2, (hidden)'!U27</f>
        <v>#N/A</v>
      </c>
      <c r="J34" s="287" t="e">
        <f>'Solution 1, (hidden) (2)'!U27</f>
        <v>#N/A</v>
      </c>
      <c r="K34" s="287" t="e">
        <f>'Solution  2, (hidden) (2)'!U27</f>
        <v>#N/A</v>
      </c>
    </row>
    <row r="35" spans="3:11" x14ac:dyDescent="0.25">
      <c r="C35" s="285" t="str">
        <f>'Solution 1, (hidden)'!B28</f>
        <v xml:space="preserve"> </v>
      </c>
      <c r="D35" s="285" t="str">
        <f>'Solution  2, (hidden)'!B28</f>
        <v xml:space="preserve"> </v>
      </c>
      <c r="E35" s="285" t="str">
        <f>IF('2. Inputs and results'!$C$21&gt;='2. Inputs and results'!$B$21,'Solution  2, (hidden)'!B28,'Solution 1, (hidden)'!B28)</f>
        <v xml:space="preserve"> </v>
      </c>
      <c r="F35" s="287" t="e">
        <f>'Solution 1, (hidden)'!Z28</f>
        <v>#N/A</v>
      </c>
      <c r="G35" s="287" t="e">
        <f>'Solution  2, (hidden)'!Z28</f>
        <v>#N/A</v>
      </c>
      <c r="H35" s="287" t="e">
        <f>'Solution 1, (hidden)'!U28</f>
        <v>#N/A</v>
      </c>
      <c r="I35" s="287" t="e">
        <f>'Solution  2, (hidden)'!U28</f>
        <v>#N/A</v>
      </c>
      <c r="J35" s="287" t="e">
        <f>'Solution 1, (hidden) (2)'!U28</f>
        <v>#N/A</v>
      </c>
      <c r="K35" s="287" t="e">
        <f>'Solution  2, (hidden) (2)'!U28</f>
        <v>#N/A</v>
      </c>
    </row>
    <row r="36" spans="3:11" x14ac:dyDescent="0.25">
      <c r="C36" s="285" t="str">
        <f>'Solution 1, (hidden)'!B29</f>
        <v xml:space="preserve"> </v>
      </c>
      <c r="D36" s="285" t="str">
        <f>'Solution  2, (hidden)'!B29</f>
        <v xml:space="preserve"> </v>
      </c>
      <c r="E36" s="285" t="str">
        <f>IF('2. Inputs and results'!$C$21&gt;='2. Inputs and results'!$B$21,'Solution  2, (hidden)'!B29,'Solution 1, (hidden)'!B29)</f>
        <v xml:space="preserve"> </v>
      </c>
      <c r="F36" s="287" t="e">
        <f>'Solution 1, (hidden)'!Z29</f>
        <v>#N/A</v>
      </c>
      <c r="G36" s="287" t="e">
        <f>'Solution  2, (hidden)'!Z29</f>
        <v>#N/A</v>
      </c>
      <c r="H36" s="287" t="e">
        <f>'Solution 1, (hidden)'!U29</f>
        <v>#N/A</v>
      </c>
      <c r="I36" s="287" t="e">
        <f>'Solution  2, (hidden)'!U29</f>
        <v>#N/A</v>
      </c>
      <c r="J36" s="287" t="e">
        <f>'Solution 1, (hidden) (2)'!U29</f>
        <v>#N/A</v>
      </c>
      <c r="K36" s="287" t="e">
        <f>'Solution  2, (hidden) (2)'!U29</f>
        <v>#N/A</v>
      </c>
    </row>
    <row r="37" spans="3:11" x14ac:dyDescent="0.25">
      <c r="C37" s="285" t="str">
        <f>'Solution 1, (hidden)'!B30</f>
        <v xml:space="preserve"> </v>
      </c>
      <c r="D37" s="285" t="str">
        <f>'Solution  2, (hidden)'!B30</f>
        <v xml:space="preserve"> </v>
      </c>
      <c r="E37" s="285" t="str">
        <f>IF('2. Inputs and results'!$C$21&gt;='2. Inputs and results'!$B$21,'Solution  2, (hidden)'!B30,'Solution 1, (hidden)'!B30)</f>
        <v xml:space="preserve"> </v>
      </c>
      <c r="F37" s="287" t="e">
        <f>'Solution 1, (hidden)'!Z30</f>
        <v>#N/A</v>
      </c>
      <c r="G37" s="287" t="e">
        <f>'Solution  2, (hidden)'!Z30</f>
        <v>#N/A</v>
      </c>
      <c r="H37" s="287" t="e">
        <f>'Solution 1, (hidden)'!U30</f>
        <v>#N/A</v>
      </c>
      <c r="I37" s="287" t="e">
        <f>'Solution  2, (hidden)'!U30</f>
        <v>#N/A</v>
      </c>
      <c r="J37" s="287" t="e">
        <f>'Solution 1, (hidden) (2)'!U30</f>
        <v>#N/A</v>
      </c>
      <c r="K37" s="287" t="e">
        <f>'Solution  2, (hidden) (2)'!U30</f>
        <v>#N/A</v>
      </c>
    </row>
    <row r="38" spans="3:11" x14ac:dyDescent="0.25">
      <c r="C38" s="285" t="str">
        <f>'Solution 1, (hidden)'!B31</f>
        <v xml:space="preserve"> </v>
      </c>
      <c r="D38" s="285" t="str">
        <f>'Solution  2, (hidden)'!B31</f>
        <v xml:space="preserve"> </v>
      </c>
      <c r="E38" s="285" t="str">
        <f>IF('2. Inputs and results'!$C$21&gt;='2. Inputs and results'!$B$21,'Solution  2, (hidden)'!B31,'Solution 1, (hidden)'!B31)</f>
        <v xml:space="preserve"> </v>
      </c>
      <c r="F38" s="287" t="e">
        <f>'Solution 1, (hidden)'!Z31</f>
        <v>#N/A</v>
      </c>
      <c r="G38" s="287" t="e">
        <f>'Solution  2, (hidden)'!Z31</f>
        <v>#N/A</v>
      </c>
      <c r="H38" s="287" t="e">
        <f>'Solution 1, (hidden)'!U31</f>
        <v>#N/A</v>
      </c>
      <c r="I38" s="287" t="e">
        <f>'Solution  2, (hidden)'!U31</f>
        <v>#N/A</v>
      </c>
      <c r="J38" s="287" t="e">
        <f>'Solution 1, (hidden) (2)'!U31</f>
        <v>#N/A</v>
      </c>
      <c r="K38" s="287" t="e">
        <f>'Solution  2, (hidden) (2)'!U31</f>
        <v>#N/A</v>
      </c>
    </row>
    <row r="39" spans="3:11" x14ac:dyDescent="0.25">
      <c r="C39" s="285" t="str">
        <f>'Solution 1, (hidden)'!B32</f>
        <v xml:space="preserve"> </v>
      </c>
      <c r="D39" s="285" t="str">
        <f>'Solution  2, (hidden)'!B32</f>
        <v xml:space="preserve"> </v>
      </c>
      <c r="E39" s="285" t="str">
        <f>IF('2. Inputs and results'!$C$21&gt;='2. Inputs and results'!$B$21,'Solution  2, (hidden)'!B32,'Solution 1, (hidden)'!B32)</f>
        <v xml:space="preserve"> </v>
      </c>
      <c r="F39" s="287" t="e">
        <f>'Solution 1, (hidden)'!Z32</f>
        <v>#N/A</v>
      </c>
      <c r="G39" s="287" t="e">
        <f>'Solution  2, (hidden)'!Z32</f>
        <v>#N/A</v>
      </c>
      <c r="H39" s="287" t="e">
        <f>'Solution 1, (hidden)'!U32</f>
        <v>#N/A</v>
      </c>
      <c r="I39" s="287" t="e">
        <f>'Solution  2, (hidden)'!U32</f>
        <v>#N/A</v>
      </c>
      <c r="J39" s="287" t="e">
        <f>'Solution 1, (hidden) (2)'!U32</f>
        <v>#N/A</v>
      </c>
      <c r="K39" s="287" t="e">
        <f>'Solution  2, (hidden) (2)'!U32</f>
        <v>#N/A</v>
      </c>
    </row>
    <row r="40" spans="3:11" x14ac:dyDescent="0.25">
      <c r="C40" s="285" t="str">
        <f>'Solution 1, (hidden)'!B33</f>
        <v xml:space="preserve"> </v>
      </c>
      <c r="D40" s="285" t="str">
        <f>'Solution  2, (hidden)'!B33</f>
        <v xml:space="preserve"> </v>
      </c>
      <c r="E40" s="285" t="str">
        <f>IF('2. Inputs and results'!$C$21&gt;='2. Inputs and results'!$B$21,'Solution  2, (hidden)'!B33,'Solution 1, (hidden)'!B33)</f>
        <v xml:space="preserve"> </v>
      </c>
      <c r="F40" s="287" t="e">
        <f>'Solution 1, (hidden)'!Z33</f>
        <v>#N/A</v>
      </c>
      <c r="G40" s="287" t="e">
        <f>'Solution  2, (hidden)'!Z33</f>
        <v>#N/A</v>
      </c>
      <c r="H40" s="287" t="e">
        <f>'Solution 1, (hidden)'!U33</f>
        <v>#N/A</v>
      </c>
      <c r="I40" s="287" t="e">
        <f>'Solution  2, (hidden)'!U33</f>
        <v>#N/A</v>
      </c>
      <c r="J40" s="287" t="e">
        <f>'Solution 1, (hidden) (2)'!U33</f>
        <v>#N/A</v>
      </c>
      <c r="K40" s="287" t="e">
        <f>'Solution  2, (hidden) (2)'!U33</f>
        <v>#N/A</v>
      </c>
    </row>
    <row r="41" spans="3:11" x14ac:dyDescent="0.25">
      <c r="C41" s="285" t="str">
        <f>'Solution 1, (hidden)'!B34</f>
        <v xml:space="preserve"> </v>
      </c>
      <c r="D41" s="285" t="str">
        <f>'Solution  2, (hidden)'!B34</f>
        <v xml:space="preserve"> </v>
      </c>
      <c r="E41" s="285" t="str">
        <f>IF('2. Inputs and results'!$C$21&gt;='2. Inputs and results'!$B$21,'Solution  2, (hidden)'!B34,'Solution 1, (hidden)'!B34)</f>
        <v xml:space="preserve"> </v>
      </c>
      <c r="F41" s="287" t="e">
        <f>'Solution 1, (hidden)'!Z34</f>
        <v>#N/A</v>
      </c>
      <c r="G41" s="287" t="e">
        <f>'Solution  2, (hidden)'!Z34</f>
        <v>#N/A</v>
      </c>
      <c r="H41" s="287" t="e">
        <f>'Solution 1, (hidden)'!U34</f>
        <v>#N/A</v>
      </c>
      <c r="I41" s="287" t="e">
        <f>'Solution  2, (hidden)'!U34</f>
        <v>#N/A</v>
      </c>
      <c r="J41" s="287" t="e">
        <f>'Solution 1, (hidden) (2)'!U34</f>
        <v>#N/A</v>
      </c>
      <c r="K41" s="287" t="e">
        <f>'Solution  2, (hidden) (2)'!U34</f>
        <v>#N/A</v>
      </c>
    </row>
    <row r="42" spans="3:11" x14ac:dyDescent="0.25">
      <c r="C42" s="285" t="str">
        <f>'Solution 1, (hidden)'!B35</f>
        <v xml:space="preserve"> </v>
      </c>
      <c r="D42" s="285" t="str">
        <f>'Solution  2, (hidden)'!B35</f>
        <v xml:space="preserve"> </v>
      </c>
      <c r="E42" s="285" t="str">
        <f>IF('2. Inputs and results'!$C$21&gt;='2. Inputs and results'!$B$21,'Solution  2, (hidden)'!B35,'Solution 1, (hidden)'!B35)</f>
        <v xml:space="preserve"> </v>
      </c>
      <c r="F42" s="287" t="e">
        <f>'Solution 1, (hidden)'!Z35</f>
        <v>#N/A</v>
      </c>
      <c r="G42" s="287" t="e">
        <f>'Solution  2, (hidden)'!Z35</f>
        <v>#N/A</v>
      </c>
      <c r="H42" s="287" t="e">
        <f>'Solution 1, (hidden)'!U35</f>
        <v>#N/A</v>
      </c>
      <c r="I42" s="287" t="e">
        <f>'Solution  2, (hidden)'!U35</f>
        <v>#N/A</v>
      </c>
      <c r="J42" s="287" t="e">
        <f>'Solution 1, (hidden) (2)'!U35</f>
        <v>#N/A</v>
      </c>
      <c r="K42" s="287" t="e">
        <f>'Solution  2, (hidden) (2)'!U35</f>
        <v>#N/A</v>
      </c>
    </row>
    <row r="43" spans="3:11" x14ac:dyDescent="0.25">
      <c r="C43" s="285" t="str">
        <f>'Solution 1, (hidden)'!B36</f>
        <v xml:space="preserve"> </v>
      </c>
      <c r="D43" s="285" t="str">
        <f>'Solution  2, (hidden)'!B36</f>
        <v xml:space="preserve"> </v>
      </c>
      <c r="E43" s="285" t="str">
        <f>IF('2. Inputs and results'!$C$21&gt;='2. Inputs and results'!$B$21,'Solution  2, (hidden)'!B36,'Solution 1, (hidden)'!B36)</f>
        <v xml:space="preserve"> </v>
      </c>
      <c r="F43" s="288" t="e">
        <f>'Solution 1, (hidden)'!Z36</f>
        <v>#N/A</v>
      </c>
      <c r="G43" s="288" t="e">
        <f>'Solution  2, (hidden)'!Z36</f>
        <v>#N/A</v>
      </c>
      <c r="H43" s="288" t="e">
        <f>'Solution 1, (hidden)'!U36</f>
        <v>#N/A</v>
      </c>
      <c r="I43" s="288" t="e">
        <f>'Solution  2, (hidden)'!U36</f>
        <v>#N/A</v>
      </c>
      <c r="J43" s="287" t="e">
        <f>'Solution 1, (hidden) (2)'!U36</f>
        <v>#N/A</v>
      </c>
      <c r="K43" s="287" t="e">
        <f>'Solution  2, (hidden) (2)'!U36</f>
        <v>#N/A</v>
      </c>
    </row>
    <row r="44" spans="3:11" x14ac:dyDescent="0.25">
      <c r="C44" s="285" t="str">
        <f>'Solution 1, (hidden)'!B37</f>
        <v xml:space="preserve"> </v>
      </c>
      <c r="D44" s="285" t="str">
        <f>'Solution  2, (hidden)'!B37</f>
        <v xml:space="preserve"> </v>
      </c>
      <c r="E44" s="285" t="str">
        <f>IF('2. Inputs and results'!$C$21&gt;='2. Inputs and results'!$B$21,'Solution  2, (hidden)'!B37,'Solution 1, (hidden)'!B37)</f>
        <v xml:space="preserve"> </v>
      </c>
      <c r="F44" s="288" t="e">
        <f>'Solution 1, (hidden)'!Z37</f>
        <v>#N/A</v>
      </c>
      <c r="G44" s="288" t="e">
        <f>'Solution  2, (hidden)'!Z37</f>
        <v>#N/A</v>
      </c>
      <c r="H44" s="288" t="e">
        <f>'Solution 1, (hidden)'!U37</f>
        <v>#N/A</v>
      </c>
      <c r="I44" s="288" t="e">
        <f>'Solution  2, (hidden)'!U37</f>
        <v>#N/A</v>
      </c>
      <c r="J44" s="287" t="e">
        <f>'Solution 1, (hidden) (2)'!U37</f>
        <v>#N/A</v>
      </c>
      <c r="K44" s="287" t="e">
        <f>'Solution  2, (hidden) (2)'!U37</f>
        <v>#N/A</v>
      </c>
    </row>
    <row r="45" spans="3:11" x14ac:dyDescent="0.25">
      <c r="C45" s="285" t="str">
        <f>'Solution 1, (hidden)'!B38</f>
        <v xml:space="preserve"> </v>
      </c>
      <c r="D45" s="285" t="str">
        <f>'Solution  2, (hidden)'!B38</f>
        <v xml:space="preserve"> </v>
      </c>
      <c r="E45" s="285" t="str">
        <f>IF('2. Inputs and results'!$C$21&gt;='2. Inputs and results'!$B$21,'Solution  2, (hidden)'!B38,'Solution 1, (hidden)'!B38)</f>
        <v xml:space="preserve"> </v>
      </c>
      <c r="F45" s="288" t="e">
        <f>'Solution 1, (hidden)'!Z38</f>
        <v>#N/A</v>
      </c>
      <c r="G45" s="288" t="e">
        <f>'Solution  2, (hidden)'!Z38</f>
        <v>#N/A</v>
      </c>
      <c r="H45" s="288" t="e">
        <f>'Solution 1, (hidden)'!U38</f>
        <v>#N/A</v>
      </c>
      <c r="I45" s="288" t="e">
        <f>'Solution  2, (hidden)'!U38</f>
        <v>#N/A</v>
      </c>
      <c r="J45" s="287" t="e">
        <f>'Solution 1, (hidden) (2)'!U38</f>
        <v>#N/A</v>
      </c>
      <c r="K45" s="287" t="e">
        <f>'Solution  2, (hidden) (2)'!U38</f>
        <v>#N/A</v>
      </c>
    </row>
    <row r="46" spans="3:11" x14ac:dyDescent="0.25">
      <c r="C46" s="285" t="str">
        <f>'Solution 1, (hidden)'!B39</f>
        <v xml:space="preserve"> </v>
      </c>
      <c r="D46" s="285" t="str">
        <f>'Solution  2, (hidden)'!B39</f>
        <v xml:space="preserve"> </v>
      </c>
      <c r="E46" s="285" t="str">
        <f>IF('2. Inputs and results'!$C$21&gt;='2. Inputs and results'!$B$21,'Solution  2, (hidden)'!B39,'Solution 1, (hidden)'!B39)</f>
        <v xml:space="preserve"> </v>
      </c>
      <c r="F46" s="288" t="e">
        <f>'Solution 1, (hidden)'!Z39</f>
        <v>#N/A</v>
      </c>
      <c r="G46" s="288" t="e">
        <f>'Solution  2, (hidden)'!Z39</f>
        <v>#N/A</v>
      </c>
      <c r="H46" s="288" t="e">
        <f>'Solution 1, (hidden)'!U39</f>
        <v>#N/A</v>
      </c>
      <c r="I46" s="288" t="e">
        <f>'Solution  2, (hidden)'!U39</f>
        <v>#N/A</v>
      </c>
      <c r="J46" s="287" t="e">
        <f>'Solution 1, (hidden) (2)'!U39</f>
        <v>#N/A</v>
      </c>
      <c r="K46" s="287" t="e">
        <f>'Solution  2, (hidden) (2)'!U39</f>
        <v>#N/A</v>
      </c>
    </row>
    <row r="47" spans="3:11" x14ac:dyDescent="0.25">
      <c r="C47" s="285" t="str">
        <f>'Solution 1, (hidden)'!B40</f>
        <v xml:space="preserve"> </v>
      </c>
      <c r="D47" s="285" t="str">
        <f>'Solution  2, (hidden)'!B40</f>
        <v xml:space="preserve"> </v>
      </c>
      <c r="E47" s="285" t="str">
        <f>IF('2. Inputs and results'!$C$21&gt;='2. Inputs and results'!$B$21,'Solution  2, (hidden)'!B40,'Solution 1, (hidden)'!B40)</f>
        <v xml:space="preserve"> </v>
      </c>
      <c r="F47" s="288" t="e">
        <f>'Solution 1, (hidden)'!Z40</f>
        <v>#N/A</v>
      </c>
      <c r="G47" s="288" t="e">
        <f>'Solution  2, (hidden)'!Z40</f>
        <v>#N/A</v>
      </c>
      <c r="H47" s="288" t="e">
        <f>'Solution 1, (hidden)'!U40</f>
        <v>#N/A</v>
      </c>
      <c r="I47" s="288" t="e">
        <f>'Solution  2, (hidden)'!U40</f>
        <v>#N/A</v>
      </c>
      <c r="J47" s="287" t="e">
        <f>'Solution 1, (hidden) (2)'!U40</f>
        <v>#N/A</v>
      </c>
      <c r="K47" s="287" t="e">
        <f>'Solution  2, (hidden) (2)'!U40</f>
        <v>#N/A</v>
      </c>
    </row>
    <row r="48" spans="3:11" x14ac:dyDescent="0.25">
      <c r="C48" s="285" t="str">
        <f>'Solution 1, (hidden)'!B41</f>
        <v xml:space="preserve"> </v>
      </c>
      <c r="D48" s="285" t="str">
        <f>'Solution  2, (hidden)'!B41</f>
        <v xml:space="preserve"> </v>
      </c>
      <c r="E48" s="285" t="str">
        <f>IF('2. Inputs and results'!$C$21&gt;='2. Inputs and results'!$B$21,'Solution  2, (hidden)'!B41,'Solution 1, (hidden)'!B41)</f>
        <v xml:space="preserve"> </v>
      </c>
      <c r="F48" s="288" t="e">
        <f>'Solution 1, (hidden)'!Z41</f>
        <v>#N/A</v>
      </c>
      <c r="G48" s="288" t="e">
        <f>'Solution  2, (hidden)'!Z41</f>
        <v>#N/A</v>
      </c>
      <c r="H48" s="288" t="e">
        <f>'Solution 1, (hidden)'!U41</f>
        <v>#N/A</v>
      </c>
      <c r="I48" s="288" t="e">
        <f>'Solution  2, (hidden)'!U41</f>
        <v>#N/A</v>
      </c>
      <c r="J48" s="287" t="e">
        <f>'Solution 1, (hidden) (2)'!U41</f>
        <v>#N/A</v>
      </c>
      <c r="K48" s="287" t="e">
        <f>'Solution  2, (hidden) (2)'!U41</f>
        <v>#N/A</v>
      </c>
    </row>
    <row r="49" spans="3:11" x14ac:dyDescent="0.25">
      <c r="C49" s="285" t="str">
        <f>'Solution 1, (hidden)'!B42</f>
        <v xml:space="preserve"> </v>
      </c>
      <c r="D49" s="285" t="str">
        <f>'Solution  2, (hidden)'!B42</f>
        <v xml:space="preserve"> </v>
      </c>
      <c r="E49" s="285" t="str">
        <f>IF('2. Inputs and results'!$C$21&gt;='2. Inputs and results'!$B$21,'Solution  2, (hidden)'!B42,'Solution 1, (hidden)'!B42)</f>
        <v xml:space="preserve"> </v>
      </c>
      <c r="F49" s="288" t="e">
        <f>'Solution 1, (hidden)'!Z42</f>
        <v>#N/A</v>
      </c>
      <c r="G49" s="288" t="e">
        <f>'Solution  2, (hidden)'!Z42</f>
        <v>#N/A</v>
      </c>
      <c r="H49" s="288" t="e">
        <f>'Solution 1, (hidden)'!U42</f>
        <v>#N/A</v>
      </c>
      <c r="I49" s="288" t="e">
        <f>'Solution  2, (hidden)'!U42</f>
        <v>#N/A</v>
      </c>
      <c r="J49" s="287" t="e">
        <f>'Solution 1, (hidden) (2)'!U42</f>
        <v>#N/A</v>
      </c>
      <c r="K49" s="287" t="e">
        <f>'Solution  2, (hidden) (2)'!U42</f>
        <v>#N/A</v>
      </c>
    </row>
    <row r="50" spans="3:11" x14ac:dyDescent="0.25">
      <c r="C50" s="285" t="str">
        <f>'Solution 1, (hidden)'!B43</f>
        <v xml:space="preserve"> </v>
      </c>
      <c r="D50" s="285" t="str">
        <f>'Solution  2, (hidden)'!B43</f>
        <v xml:space="preserve"> </v>
      </c>
      <c r="E50" s="285" t="str">
        <f>IF('2. Inputs and results'!$C$21&gt;='2. Inputs and results'!$B$21,'Solution  2, (hidden)'!B43,'Solution 1, (hidden)'!B43)</f>
        <v xml:space="preserve"> </v>
      </c>
      <c r="F50" s="288" t="e">
        <f>'Solution 1, (hidden)'!Z43</f>
        <v>#N/A</v>
      </c>
      <c r="G50" s="288" t="e">
        <f>'Solution  2, (hidden)'!Z43</f>
        <v>#N/A</v>
      </c>
      <c r="H50" s="288" t="e">
        <f>'Solution 1, (hidden)'!U43</f>
        <v>#N/A</v>
      </c>
      <c r="I50" s="288" t="e">
        <f>'Solution  2, (hidden)'!U43</f>
        <v>#N/A</v>
      </c>
      <c r="J50" s="287" t="e">
        <f>'Solution 1, (hidden) (2)'!U43</f>
        <v>#N/A</v>
      </c>
      <c r="K50" s="287" t="e">
        <f>'Solution  2, (hidden) (2)'!U43</f>
        <v>#N/A</v>
      </c>
    </row>
    <row r="51" spans="3:11" x14ac:dyDescent="0.25">
      <c r="C51" s="285" t="str">
        <f>'Solution 1, (hidden)'!B44</f>
        <v xml:space="preserve"> </v>
      </c>
      <c r="D51" s="285" t="str">
        <f>'Solution  2, (hidden)'!B44</f>
        <v xml:space="preserve"> </v>
      </c>
      <c r="E51" s="285" t="str">
        <f>IF('2. Inputs and results'!$C$21&gt;='2. Inputs and results'!$B$21,'Solution  2, (hidden)'!B44,'Solution 1, (hidden)'!B44)</f>
        <v xml:space="preserve"> </v>
      </c>
      <c r="F51" s="288" t="e">
        <f>'Solution 1, (hidden)'!Z44</f>
        <v>#N/A</v>
      </c>
      <c r="G51" s="288" t="e">
        <f>'Solution  2, (hidden)'!Z44</f>
        <v>#N/A</v>
      </c>
      <c r="H51" s="288" t="e">
        <f>'Solution 1, (hidden)'!U44</f>
        <v>#N/A</v>
      </c>
      <c r="I51" s="288" t="e">
        <f>'Solution  2, (hidden)'!U44</f>
        <v>#N/A</v>
      </c>
      <c r="J51" s="287" t="e">
        <f>'Solution 1, (hidden) (2)'!U44</f>
        <v>#N/A</v>
      </c>
      <c r="K51" s="287" t="e">
        <f>'Solution  2, (hidden) (2)'!U44</f>
        <v>#N/A</v>
      </c>
    </row>
    <row r="52" spans="3:11" x14ac:dyDescent="0.25">
      <c r="C52" s="285" t="str">
        <f>'Solution 1, (hidden)'!B45</f>
        <v xml:space="preserve"> </v>
      </c>
      <c r="D52" s="285" t="str">
        <f>'Solution  2, (hidden)'!B45</f>
        <v xml:space="preserve"> </v>
      </c>
      <c r="E52" s="285" t="str">
        <f>IF('2. Inputs and results'!$C$21&gt;='2. Inputs and results'!$B$21,'Solution  2, (hidden)'!B45,'Solution 1, (hidden)'!B45)</f>
        <v xml:space="preserve"> </v>
      </c>
      <c r="F52" s="288" t="e">
        <f>'Solution 1, (hidden)'!Z45</f>
        <v>#N/A</v>
      </c>
      <c r="G52" s="288" t="e">
        <f>'Solution  2, (hidden)'!Z45</f>
        <v>#N/A</v>
      </c>
      <c r="H52" s="288" t="e">
        <f>'Solution 1, (hidden)'!U45</f>
        <v>#N/A</v>
      </c>
      <c r="I52" s="288" t="e">
        <f>'Solution  2, (hidden)'!U45</f>
        <v>#N/A</v>
      </c>
      <c r="J52" s="287" t="e">
        <f>'Solution 1, (hidden) (2)'!U45</f>
        <v>#N/A</v>
      </c>
      <c r="K52" s="287" t="e">
        <f>'Solution  2, (hidden) (2)'!U45</f>
        <v>#N/A</v>
      </c>
    </row>
    <row r="53" spans="3:11" x14ac:dyDescent="0.25">
      <c r="C53" s="285" t="str">
        <f>'Solution 1, (hidden)'!B46</f>
        <v xml:space="preserve"> </v>
      </c>
      <c r="D53" s="285" t="str">
        <f>'Solution  2, (hidden)'!B46</f>
        <v xml:space="preserve"> </v>
      </c>
      <c r="E53" s="285" t="str">
        <f>IF('2. Inputs and results'!$C$21&gt;='2. Inputs and results'!$B$21,'Solution  2, (hidden)'!B46,'Solution 1, (hidden)'!B46)</f>
        <v xml:space="preserve"> </v>
      </c>
      <c r="F53" s="288" t="e">
        <f>'Solution 1, (hidden)'!Z46</f>
        <v>#N/A</v>
      </c>
      <c r="G53" s="288" t="e">
        <f>'Solution  2, (hidden)'!Z46</f>
        <v>#N/A</v>
      </c>
      <c r="H53" s="288" t="e">
        <f>'Solution 1, (hidden)'!U46</f>
        <v>#N/A</v>
      </c>
      <c r="I53" s="288" t="e">
        <f>'Solution  2, (hidden)'!U46</f>
        <v>#N/A</v>
      </c>
      <c r="J53" s="287" t="e">
        <f>'Solution 1, (hidden) (2)'!U46</f>
        <v>#N/A</v>
      </c>
      <c r="K53" s="287" t="e">
        <f>'Solution  2, (hidden) (2)'!U46</f>
        <v>#N/A</v>
      </c>
    </row>
    <row r="54" spans="3:11" x14ac:dyDescent="0.25">
      <c r="C54" s="285" t="str">
        <f>'Solution 1, (hidden)'!B47</f>
        <v xml:space="preserve"> </v>
      </c>
      <c r="D54" s="285" t="str">
        <f>'Solution  2, (hidden)'!B47</f>
        <v xml:space="preserve"> </v>
      </c>
      <c r="E54" s="285" t="str">
        <f>IF('2. Inputs and results'!$C$21&gt;='2. Inputs and results'!$B$21,'Solution  2, (hidden)'!B47,'Solution 1, (hidden)'!B47)</f>
        <v xml:space="preserve"> </v>
      </c>
      <c r="F54" s="288" t="e">
        <f>'Solution 1, (hidden)'!Z47</f>
        <v>#N/A</v>
      </c>
      <c r="G54" s="288" t="e">
        <f>'Solution  2, (hidden)'!Z47</f>
        <v>#N/A</v>
      </c>
      <c r="H54" s="288" t="e">
        <f>'Solution 1, (hidden)'!U47</f>
        <v>#N/A</v>
      </c>
      <c r="I54" s="288" t="e">
        <f>'Solution  2, (hidden)'!U47</f>
        <v>#N/A</v>
      </c>
      <c r="J54" s="287" t="e">
        <f>'Solution 1, (hidden) (2)'!U47</f>
        <v>#N/A</v>
      </c>
      <c r="K54" s="287" t="e">
        <f>'Solution  2, (hidden) (2)'!U47</f>
        <v>#N/A</v>
      </c>
    </row>
    <row r="55" spans="3:11" x14ac:dyDescent="0.25">
      <c r="C55" s="285" t="str">
        <f>'Solution 1, (hidden)'!B48</f>
        <v xml:space="preserve"> </v>
      </c>
      <c r="D55" s="285" t="str">
        <f>'Solution  2, (hidden)'!B48</f>
        <v xml:space="preserve"> </v>
      </c>
      <c r="E55" s="285" t="str">
        <f>IF('2. Inputs and results'!$C$21&gt;='2. Inputs and results'!$B$21,'Solution  2, (hidden)'!B48,'Solution 1, (hidden)'!B48)</f>
        <v xml:space="preserve"> </v>
      </c>
      <c r="F55" s="288" t="e">
        <f>'Solution 1, (hidden)'!Z48</f>
        <v>#N/A</v>
      </c>
      <c r="G55" s="288" t="e">
        <f>'Solution  2, (hidden)'!Z48</f>
        <v>#N/A</v>
      </c>
      <c r="H55" s="288" t="e">
        <f>'Solution 1, (hidden)'!U48</f>
        <v>#N/A</v>
      </c>
      <c r="I55" s="288" t="e">
        <f>'Solution  2, (hidden)'!U48</f>
        <v>#N/A</v>
      </c>
      <c r="J55" s="287" t="e">
        <f>'Solution 1, (hidden) (2)'!U48</f>
        <v>#N/A</v>
      </c>
      <c r="K55" s="287" t="e">
        <f>'Solution  2, (hidden) (2)'!U48</f>
        <v>#N/A</v>
      </c>
    </row>
    <row r="56" spans="3:11" x14ac:dyDescent="0.25">
      <c r="C56" s="285" t="str">
        <f>'Solution 1, (hidden)'!B49</f>
        <v xml:space="preserve"> </v>
      </c>
      <c r="D56" s="285" t="str">
        <f>'Solution  2, (hidden)'!B49</f>
        <v xml:space="preserve"> </v>
      </c>
      <c r="E56" s="285" t="str">
        <f>IF('2. Inputs and results'!$C$21&gt;='2. Inputs and results'!$B$21,'Solution  2, (hidden)'!B49,'Solution 1, (hidden)'!B49)</f>
        <v xml:space="preserve"> </v>
      </c>
      <c r="F56" s="288" t="e">
        <f>'Solution 1, (hidden)'!Z49</f>
        <v>#N/A</v>
      </c>
      <c r="G56" s="288" t="e">
        <f>'Solution  2, (hidden)'!Z49</f>
        <v>#N/A</v>
      </c>
      <c r="H56" s="288" t="e">
        <f>'Solution 1, (hidden)'!U49</f>
        <v>#N/A</v>
      </c>
      <c r="I56" s="288" t="e">
        <f>'Solution  2, (hidden)'!U49</f>
        <v>#N/A</v>
      </c>
      <c r="J56" s="287" t="e">
        <f>'Solution 1, (hidden) (2)'!U49</f>
        <v>#N/A</v>
      </c>
      <c r="K56" s="287" t="e">
        <f>'Solution  2, (hidden) (2)'!U49</f>
        <v>#N/A</v>
      </c>
    </row>
    <row r="57" spans="3:11" x14ac:dyDescent="0.25">
      <c r="C57" s="285" t="str">
        <f>'Solution 1, (hidden)'!B50</f>
        <v xml:space="preserve"> </v>
      </c>
      <c r="D57" s="285" t="str">
        <f>'Solution  2, (hidden)'!B50</f>
        <v xml:space="preserve"> </v>
      </c>
      <c r="E57" s="285" t="str">
        <f>IF('2. Inputs and results'!$C$21&gt;='2. Inputs and results'!$B$21,'Solution  2, (hidden)'!B50,'Solution 1, (hidden)'!B50)</f>
        <v xml:space="preserve"> </v>
      </c>
      <c r="F57" s="288" t="e">
        <f>'Solution 1, (hidden)'!Z50</f>
        <v>#N/A</v>
      </c>
      <c r="G57" s="288" t="e">
        <f>'Solution  2, (hidden)'!Z50</f>
        <v>#N/A</v>
      </c>
      <c r="H57" s="288" t="e">
        <f>'Solution 1, (hidden)'!U50</f>
        <v>#N/A</v>
      </c>
      <c r="I57" s="288" t="e">
        <f>'Solution  2, (hidden)'!U50</f>
        <v>#N/A</v>
      </c>
      <c r="J57" s="287" t="e">
        <f>'Solution 1, (hidden) (2)'!U50</f>
        <v>#N/A</v>
      </c>
      <c r="K57" s="287" t="e">
        <f>'Solution  2, (hidden) (2)'!U50</f>
        <v>#N/A</v>
      </c>
    </row>
    <row r="58" spans="3:11" x14ac:dyDescent="0.25">
      <c r="C58" s="285" t="str">
        <f>'Solution 1, (hidden)'!B51</f>
        <v xml:space="preserve"> </v>
      </c>
      <c r="D58" s="285" t="str">
        <f>'Solution  2, (hidden)'!B51</f>
        <v xml:space="preserve"> </v>
      </c>
      <c r="E58" s="285" t="str">
        <f>IF('2. Inputs and results'!$C$21&gt;='2. Inputs and results'!$B$21,'Solution  2, (hidden)'!B51,'Solution 1, (hidden)'!B51)</f>
        <v xml:space="preserve"> </v>
      </c>
      <c r="F58" s="288" t="e">
        <f>'Solution 1, (hidden)'!Z51</f>
        <v>#N/A</v>
      </c>
      <c r="G58" s="288" t="e">
        <f>'Solution  2, (hidden)'!Z51</f>
        <v>#N/A</v>
      </c>
      <c r="H58" s="288" t="e">
        <f>'Solution 1, (hidden)'!U51</f>
        <v>#N/A</v>
      </c>
      <c r="I58" s="288" t="e">
        <f>'Solution  2, (hidden)'!U51</f>
        <v>#N/A</v>
      </c>
      <c r="J58" s="287" t="e">
        <f>'Solution 1, (hidden) (2)'!U51</f>
        <v>#N/A</v>
      </c>
      <c r="K58" s="287" t="e">
        <f>'Solution  2, (hidden) (2)'!U51</f>
        <v>#N/A</v>
      </c>
    </row>
    <row r="59" spans="3:11" x14ac:dyDescent="0.25">
      <c r="C59" s="285" t="str">
        <f>'Solution 1, (hidden)'!B52</f>
        <v xml:space="preserve"> </v>
      </c>
      <c r="D59" s="285" t="str">
        <f>'Solution  2, (hidden)'!B52</f>
        <v xml:space="preserve"> </v>
      </c>
      <c r="E59" s="285" t="str">
        <f>IF('2. Inputs and results'!$C$21&gt;='2. Inputs and results'!$B$21,'Solution  2, (hidden)'!B52,'Solution 1, (hidden)'!B52)</f>
        <v xml:space="preserve"> </v>
      </c>
      <c r="F59" s="288" t="e">
        <f>'Solution 1, (hidden)'!Z52</f>
        <v>#N/A</v>
      </c>
      <c r="G59" s="288" t="e">
        <f>'Solution  2, (hidden)'!Z52</f>
        <v>#N/A</v>
      </c>
      <c r="H59" s="288" t="e">
        <f>'Solution 1, (hidden)'!U52</f>
        <v>#N/A</v>
      </c>
      <c r="I59" s="288" t="e">
        <f>'Solution  2, (hidden)'!U52</f>
        <v>#N/A</v>
      </c>
      <c r="J59" s="287" t="e">
        <f>'Solution 1, (hidden) (2)'!U52</f>
        <v>#N/A</v>
      </c>
      <c r="K59" s="287" t="e">
        <f>'Solution  2, (hidden) (2)'!U52</f>
        <v>#N/A</v>
      </c>
    </row>
    <row r="60" spans="3:11" x14ac:dyDescent="0.25">
      <c r="C60" s="285" t="str">
        <f>'Solution 1, (hidden)'!B53</f>
        <v xml:space="preserve"> </v>
      </c>
      <c r="D60" s="285" t="str">
        <f>'Solution  2, (hidden)'!B53</f>
        <v xml:space="preserve"> </v>
      </c>
      <c r="E60" s="285" t="str">
        <f>IF('2. Inputs and results'!$C$21&gt;='2. Inputs and results'!$B$21,'Solution  2, (hidden)'!B53,'Solution 1, (hidden)'!B53)</f>
        <v xml:space="preserve"> </v>
      </c>
      <c r="F60" s="288" t="e">
        <f>'Solution 1, (hidden)'!Z53</f>
        <v>#N/A</v>
      </c>
      <c r="G60" s="288" t="e">
        <f>'Solution  2, (hidden)'!Z53</f>
        <v>#N/A</v>
      </c>
      <c r="H60" s="288" t="e">
        <f>'Solution 1, (hidden)'!U53</f>
        <v>#N/A</v>
      </c>
      <c r="I60" s="288" t="e">
        <f>'Solution  2, (hidden)'!U53</f>
        <v>#N/A</v>
      </c>
      <c r="J60" s="287" t="e">
        <f>'Solution 1, (hidden) (2)'!U53</f>
        <v>#N/A</v>
      </c>
      <c r="K60" s="287" t="e">
        <f>'Solution  2, (hidden) (2)'!U53</f>
        <v>#N/A</v>
      </c>
    </row>
    <row r="61" spans="3:11" x14ac:dyDescent="0.25">
      <c r="C61" s="285" t="str">
        <f>'Solution 1, (hidden)'!B54</f>
        <v xml:space="preserve"> </v>
      </c>
      <c r="D61" s="285" t="str">
        <f>'Solution  2, (hidden)'!B54</f>
        <v xml:space="preserve"> </v>
      </c>
      <c r="E61" s="285" t="str">
        <f>IF('2. Inputs and results'!$C$21&gt;='2. Inputs and results'!$B$21,'Solution  2, (hidden)'!B54,'Solution 1, (hidden)'!B54)</f>
        <v xml:space="preserve"> </v>
      </c>
      <c r="F61" s="288" t="e">
        <f>'Solution 1, (hidden)'!Z54</f>
        <v>#N/A</v>
      </c>
      <c r="G61" s="288" t="e">
        <f>'Solution  2, (hidden)'!Z54</f>
        <v>#N/A</v>
      </c>
      <c r="H61" s="288" t="e">
        <f>'Solution 1, (hidden)'!U54</f>
        <v>#N/A</v>
      </c>
      <c r="I61" s="288" t="e">
        <f>'Solution  2, (hidden)'!U54</f>
        <v>#N/A</v>
      </c>
      <c r="J61" s="287" t="e">
        <f>'Solution 1, (hidden) (2)'!U54</f>
        <v>#N/A</v>
      </c>
      <c r="K61" s="287" t="e">
        <f>'Solution  2, (hidden) (2)'!U54</f>
        <v>#N/A</v>
      </c>
    </row>
    <row r="62" spans="3:11" x14ac:dyDescent="0.25">
      <c r="C62" s="285" t="str">
        <f>'Solution 1, (hidden)'!B55</f>
        <v xml:space="preserve"> </v>
      </c>
      <c r="D62" s="285" t="str">
        <f>'Solution  2, (hidden)'!B55</f>
        <v xml:space="preserve"> </v>
      </c>
      <c r="E62" s="285" t="str">
        <f>IF('2. Inputs and results'!$C$21&gt;='2. Inputs and results'!$B$21,'Solution  2, (hidden)'!B55,'Solution 1, (hidden)'!B55)</f>
        <v xml:space="preserve"> </v>
      </c>
      <c r="F62" s="288" t="e">
        <f>'Solution 1, (hidden)'!Z55</f>
        <v>#N/A</v>
      </c>
      <c r="G62" s="288" t="e">
        <f>'Solution  2, (hidden)'!Z55</f>
        <v>#N/A</v>
      </c>
      <c r="H62" s="288" t="e">
        <f>'Solution 1, (hidden)'!U55</f>
        <v>#N/A</v>
      </c>
      <c r="I62" s="288" t="e">
        <f>'Solution  2, (hidden)'!U55</f>
        <v>#N/A</v>
      </c>
      <c r="J62" s="287" t="e">
        <f>'Solution 1, (hidden) (2)'!U55</f>
        <v>#N/A</v>
      </c>
      <c r="K62" s="287" t="e">
        <f>'Solution  2, (hidden) (2)'!U55</f>
        <v>#N/A</v>
      </c>
    </row>
    <row r="63" spans="3:11" x14ac:dyDescent="0.25">
      <c r="F63" s="30"/>
      <c r="G63" s="30"/>
      <c r="H63" s="30"/>
      <c r="I63" s="30"/>
    </row>
  </sheetData>
  <sheetProtection sheet="1" objects="1" scenarios="1"/>
  <conditionalFormatting sqref="E12:I62">
    <cfRule type="containsErrors" dxfId="34" priority="3">
      <formula>ISERROR(E12)</formula>
    </cfRule>
  </conditionalFormatting>
  <conditionalFormatting sqref="J1:K1048576">
    <cfRule type="containsErrors" dxfId="33" priority="2">
      <formula>ISERROR(J1)</formula>
    </cfRule>
  </conditionalFormatting>
  <conditionalFormatting sqref="F12:K62">
    <cfRule type="cellIs" dxfId="32" priority="1" operator="lessThan">
      <formula>0</formula>
    </cfRule>
  </conditionalFormatting>
  <pageMargins left="0.7" right="0.7" top="0.75" bottom="0.75" header="0.3" footer="0.3"/>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18</vt:i4>
      </vt:variant>
      <vt:variant>
        <vt:lpstr>Nimetyt alueet</vt:lpstr>
      </vt:variant>
      <vt:variant>
        <vt:i4>3</vt:i4>
      </vt:variant>
    </vt:vector>
  </HeadingPairs>
  <TitlesOfParts>
    <vt:vector size="21" baseType="lpstr">
      <vt:lpstr>Decrease energy and costs</vt:lpstr>
      <vt:lpstr>1. Guidance for using tool</vt:lpstr>
      <vt:lpstr>2. Inputs and results</vt:lpstr>
      <vt:lpstr>Ventilation system</vt:lpstr>
      <vt:lpstr>Cooling system</vt:lpstr>
      <vt:lpstr>Type of building</vt:lpstr>
      <vt:lpstr>3. Package of Charts</vt:lpstr>
      <vt:lpstr>4. Cash flow </vt:lpstr>
      <vt:lpstr>5. NPV</vt:lpstr>
      <vt:lpstr>5. Return on investment</vt:lpstr>
      <vt:lpstr>6. Pay back time</vt:lpstr>
      <vt:lpstr>7. Change of CO2 emissions</vt:lpstr>
      <vt:lpstr>Change log (hidden)</vt:lpstr>
      <vt:lpstr>Heating system (hidden)</vt:lpstr>
      <vt:lpstr>Solution 1, (hidden)</vt:lpstr>
      <vt:lpstr>Solution  2, (hidden)</vt:lpstr>
      <vt:lpstr>Solution 1, (hidden) (2)</vt:lpstr>
      <vt:lpstr>Solution  2, (hidden) (2)</vt:lpstr>
      <vt:lpstr>'1. Guidance for using tool'!Tulostusalue</vt:lpstr>
      <vt:lpstr>'2. Inputs and results'!Tulostusalue</vt:lpstr>
      <vt:lpstr>'3. Package of Charts'!Tulostusalue</vt:lpstr>
    </vt:vector>
  </TitlesOfParts>
  <Company>Saimaan talous ja tieto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Nyholm Tanja</dc:creator>
  <cp:lastModifiedBy>Nyholm Tanja</cp:lastModifiedBy>
  <cp:lastPrinted>2020-09-10T05:16:37Z</cp:lastPrinted>
  <dcterms:created xsi:type="dcterms:W3CDTF">2018-07-02T09:44:54Z</dcterms:created>
  <dcterms:modified xsi:type="dcterms:W3CDTF">2020-09-10T05:16:48Z</dcterms:modified>
</cp:coreProperties>
</file>