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ämäTyökirja"/>
  <mc:AlternateContent xmlns:mc="http://schemas.openxmlformats.org/markup-compatibility/2006">
    <mc:Choice Requires="x15">
      <x15ac:absPath xmlns:x15ac="http://schemas.microsoft.com/office/spreadsheetml/2010/11/ac" url="Z:\Ymparistotoimi\Projektit\Ilmasto ja Energia 2015 -\EFFECT4buildings\White papers\Financial calculation tool\Toolbox\Toolbox numeroitu\"/>
    </mc:Choice>
  </mc:AlternateContent>
  <xr:revisionPtr revIDLastSave="0" documentId="13_ncr:1_{C7FBBE5F-51F0-4EFB-9053-F49946FDD829}" xr6:coauthVersionLast="45" xr6:coauthVersionMax="45" xr10:uidLastSave="{00000000-0000-0000-0000-000000000000}"/>
  <bookViews>
    <workbookView xWindow="-120" yWindow="-120" windowWidth="29040" windowHeight="15840" firstSheet="1" activeTab="1" xr2:uid="{00000000-000D-0000-FFFF-FFFF00000000}"/>
  </bookViews>
  <sheets>
    <sheet name="Decrease energy and costs" sheetId="1" state="hidden" r:id="rId1"/>
    <sheet name="1. Guidance for using tool" sheetId="38" r:id="rId2"/>
    <sheet name="2. Inputs and results" sheetId="17" r:id="rId3"/>
    <sheet name="Ventilation system" sheetId="42" state="hidden" r:id="rId4"/>
    <sheet name="Cooling system" sheetId="41" state="hidden" r:id="rId5"/>
    <sheet name="Type of building" sheetId="40" state="hidden" r:id="rId6"/>
    <sheet name="3. Package of Charts" sheetId="39" r:id="rId7"/>
    <sheet name="4. Cash flow " sheetId="31" r:id="rId8"/>
    <sheet name="5. NPV" sheetId="30" r:id="rId9"/>
    <sheet name="5. Return on investment" sheetId="33" state="hidden" r:id="rId10"/>
    <sheet name="6. Pay back time" sheetId="28" r:id="rId11"/>
    <sheet name="7. Change of CO2 emissions" sheetId="25" r:id="rId12"/>
    <sheet name="Change log (hidden)" sheetId="34" state="hidden" r:id="rId13"/>
    <sheet name="Heating system (hidden)" sheetId="35" state="hidden" r:id="rId14"/>
    <sheet name="Solution 1, (hidden)" sheetId="11" state="hidden" r:id="rId15"/>
    <sheet name="Solution  2, (hidden)" sheetId="19" state="hidden" r:id="rId16"/>
    <sheet name="Solution 1, (hidden) (2)" sheetId="36" state="hidden" r:id="rId17"/>
    <sheet name="Solution  2, (hidden) (2)" sheetId="37" state="hidden" r:id="rId18"/>
  </sheets>
  <definedNames>
    <definedName name="Cashflow_1">OFFSET('4. Cash flow '!$F$12,0,0,COUNT('4. Cash flow '!$F:$F))</definedName>
    <definedName name="Cashflow_1_ep_change2">OFFSET('4. Cash flow '!$J$12,0,0,COUNT('4. Cash flow '!$J:$J))</definedName>
    <definedName name="Cashflow_1ep_change">OFFSET('4. Cash flow '!$H$12,0,0,COUNT('4. Cash flow '!$H:$H))</definedName>
    <definedName name="Cashflow_2">OFFSET('4. Cash flow '!$G$12,0,0,COUNT('4. Cash flow '!$G:$G))</definedName>
    <definedName name="Cashflow_2ep_change">OFFSET('4. Cash flow '!$I$12,0,0,COUNT('4. Cash flow '!$I:$I))</definedName>
    <definedName name="Cashflow_2ep_change2">OFFSET('4. Cash flow '!$K$12,0,0,COUNT('4. Cash flow '!$K:$K))</definedName>
    <definedName name="CO2_1">OFFSET('7. Change of CO2 emissions'!$F$13,0,0,COUNT('7. Change of CO2 emissions'!$F:$F))</definedName>
    <definedName name="CO2_2">OFFSET('7. Change of CO2 emissions'!$G$13,0,0,COUNT('7. Change of CO2 emissions'!$G:$G))</definedName>
    <definedName name="NPV_1">OFFSET('5. NPV'!$F$12,0,0,COUNT('5. NPV'!$F:$F))</definedName>
    <definedName name="NPV_1ep_change">OFFSET('5. NPV'!$H$12,0,0,COUNT('5. NPV'!$H:$H))</definedName>
    <definedName name="NPV_1ep_change2">OFFSET('5. NPV'!$J$12,0,0,COUNT('5. NPV'!$J:$J))</definedName>
    <definedName name="NPV_2">OFFSET('5. NPV'!$G$12,0,0,COUNT('5. NPV'!$G:$G))</definedName>
    <definedName name="NPV_2ep_change">OFFSET('5. NPV'!$I$12,0,0,COUNT('5. NPV'!$I:$I))</definedName>
    <definedName name="NPV_2ep_change2">OFFSET('5. NPV'!$K$12,0,0,COUNT('5. NPV'!$K:$K))</definedName>
    <definedName name="Payback_1">OFFSET('6. Pay back time'!$H$14,0,0,COUNT('6. Pay back time'!$H:$H))</definedName>
    <definedName name="Payback_1_invest">OFFSET('6. Pay back time'!$F$14,0,0,COUNT('6. Pay back time'!$F:$F))</definedName>
    <definedName name="Payback_1ep_change">OFFSET('6. Pay back time'!$J$14,0,0,COUNT('6. Pay back time'!$J:$J))</definedName>
    <definedName name="Payback_1ep_change2">OFFSET('6. Pay back time'!$L$14,0,0,COUNT('6. Pay back time'!$L:$L))</definedName>
    <definedName name="Payback_2">OFFSET('6. Pay back time'!$I$14,0,0,COUNT('6. Pay back time'!$I:$I))</definedName>
    <definedName name="Payback_2_invest">OFFSET('6. Pay back time'!$G$14,0,0,COUNT('6. Pay back time'!$G:$G))</definedName>
    <definedName name="Payback_2ep_change">OFFSET('6. Pay back time'!$K$14,0,0,COUNT('6. Pay back time'!$K:$K))</definedName>
    <definedName name="Payback_2ep_change2">OFFSET('6. Pay back time'!$M$14,0,0,COUNT('6. Pay back time'!$M:$M))</definedName>
    <definedName name="Return_on_investment_1">OFFSET('5. Return on investment'!$K$4,0,0,COUNT('5. Return on investment'!$K:$K))</definedName>
    <definedName name="Return_on_investment_1ep_change">OFFSET('5. Return on investment'!$M$4,0,0,COUNT('5. Return on investment'!$M:$M))</definedName>
    <definedName name="Return_on_investment_2">OFFSET('5. Return on investment'!$L$4,0,0,COUNT('5. Return on investment'!$L:$L))</definedName>
    <definedName name="Return_on_investment_2ep_change">OFFSET('5. Return on investment'!$N$4,0,0,COUNT('5. Return on investment'!$N:$N))</definedName>
    <definedName name="_xlnm.Print_Area" localSheetId="1">'1. Guidance for using tool'!$A$1:$Q$110</definedName>
    <definedName name="_xlnm.Print_Area" localSheetId="2">'2. Inputs and results'!$A$1:$C$160</definedName>
    <definedName name="_xlnm.Print_Area" localSheetId="6">'3. Package of Charts'!$A$1:$J$104</definedName>
    <definedName name="Year_1Cf">OFFSET('4. Cash flow '!$C$12,0,0,COUNT('4. Cash flow '!$C:$C))</definedName>
    <definedName name="Year_1CO2">OFFSET('7. Change of CO2 emissions'!$C$13,0,0,COUNT('7. Change of CO2 emissions'!$C:$C))</definedName>
    <definedName name="Year_1NPV">OFFSET('5. NPV'!$C$12,0,0,COUNT('5. NPV'!$C:$C))</definedName>
    <definedName name="Year_1Payback">OFFSET('6. Pay back time'!$C$14,0,0,COUNT('6. Pay back time'!$C:$C))</definedName>
    <definedName name="Year_1Return_on_investment">OFFSET('5. Return on investment'!$H$4,0,0,COUNT('5. Return on investment'!$H:$H))</definedName>
    <definedName name="Year_2Cf">OFFSET('4. Cash flow '!$D$12,0,0,COUNT('4. Cash flow '!$D:$D))</definedName>
    <definedName name="Year_2CO2">OFFSET('7. Change of CO2 emissions'!$D$13,0,0,COUNT('7. Change of CO2 emissions'!$D:$D))</definedName>
    <definedName name="Year_2NPV">OFFSET('5. NPV'!$D$12,0,0,COUNT('5. NPV'!$D:$D))</definedName>
    <definedName name="Year_2payback">OFFSET('6. Pay back time'!$D$14,0,0,COUNT('6. Pay back time'!$D:$D))</definedName>
    <definedName name="Year_2Return_on_investment">OFFSET('5. Return on investment'!$I$4,0,0,COUNT('5. Return on investment'!$I:$I))</definedName>
    <definedName name="Year_cf_biggest">OFFSET('4. Cash flow '!$E$12,0,0,COUNT('4. Cash flow '!$E:$E))</definedName>
    <definedName name="Year_CO2_biggest">OFFSET('7. Change of CO2 emissions'!$E$13,0,0,COUNT('7. Change of CO2 emissions'!$E:$E))</definedName>
    <definedName name="Year_NPV_biggest">OFFSET('5. NPV'!$E$12,0,0,COUNT('5. NPV'!$E:$E))</definedName>
    <definedName name="Year_paybacktime_biggest">OFFSET('6. Pay back time'!$E$14,0,0,COUNT('6. Pay back time'!$E:$E))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7" l="1"/>
  <c r="C23" i="17" l="1"/>
  <c r="B23" i="17"/>
  <c r="C91" i="17"/>
  <c r="B91" i="17"/>
  <c r="C25" i="17"/>
  <c r="B25" i="17"/>
  <c r="C37" i="17"/>
  <c r="B37" i="17"/>
  <c r="C49" i="17"/>
  <c r="B49" i="17"/>
  <c r="C61" i="17"/>
  <c r="B61" i="17"/>
  <c r="C83" i="17"/>
  <c r="B83" i="17"/>
  <c r="C71" i="17"/>
  <c r="B71" i="17"/>
  <c r="C106" i="17" l="1"/>
  <c r="B106" i="17"/>
  <c r="C114" i="17"/>
  <c r="B114" i="17"/>
  <c r="C119" i="17"/>
  <c r="B119" i="17"/>
  <c r="C129" i="17"/>
  <c r="B129" i="17"/>
  <c r="C137" i="17"/>
  <c r="B137" i="17"/>
  <c r="C123" i="17" l="1"/>
  <c r="C127" i="17" s="1"/>
  <c r="B123" i="17"/>
  <c r="B127" i="17" s="1"/>
  <c r="B131" i="17" l="1"/>
  <c r="C121" i="17" l="1"/>
  <c r="B121" i="17"/>
  <c r="C101" i="17"/>
  <c r="B101" i="17"/>
  <c r="C97" i="17"/>
  <c r="B97" i="17"/>
  <c r="B93" i="17"/>
  <c r="C95" i="17"/>
  <c r="B95" i="17"/>
  <c r="C93" i="17"/>
  <c r="F10" i="31" l="1"/>
  <c r="B2" i="39" l="1"/>
  <c r="B2" i="31"/>
  <c r="B2" i="30"/>
  <c r="B2" i="28"/>
  <c r="B4" i="39"/>
  <c r="B6" i="39"/>
  <c r="B7" i="39"/>
  <c r="B8" i="39"/>
  <c r="K5" i="37" l="1"/>
  <c r="K5" i="36"/>
  <c r="K5" i="11"/>
  <c r="J6" i="37"/>
  <c r="J6" i="19" l="1"/>
  <c r="J6" i="11"/>
  <c r="J6" i="36"/>
  <c r="B8" i="25"/>
  <c r="B7" i="25"/>
  <c r="B6" i="25"/>
  <c r="B4" i="25"/>
  <c r="B2" i="25"/>
  <c r="B8" i="28"/>
  <c r="B7" i="28"/>
  <c r="B6" i="28"/>
  <c r="B4" i="28"/>
  <c r="B8" i="30"/>
  <c r="B7" i="30"/>
  <c r="B6" i="30"/>
  <c r="B4" i="30"/>
  <c r="B8" i="31"/>
  <c r="B7" i="31"/>
  <c r="B6" i="31"/>
  <c r="B4" i="31"/>
  <c r="F10" i="30"/>
  <c r="G10" i="30"/>
  <c r="H10" i="30"/>
  <c r="I10" i="30"/>
  <c r="J10" i="30"/>
  <c r="K10" i="30"/>
  <c r="B108" i="17" l="1"/>
  <c r="C108" i="17"/>
  <c r="M2" i="33" l="1"/>
  <c r="K2" i="33"/>
  <c r="N2" i="33"/>
  <c r="L2" i="33"/>
  <c r="G12" i="25"/>
  <c r="M13" i="28"/>
  <c r="K13" i="28"/>
  <c r="I13" i="28"/>
  <c r="G13" i="28"/>
  <c r="K10" i="31"/>
  <c r="I10" i="31"/>
  <c r="E33" i="39" l="1"/>
  <c r="E86" i="39"/>
  <c r="A86" i="39"/>
  <c r="E55" i="39"/>
  <c r="A55" i="39"/>
  <c r="A33" i="39"/>
  <c r="E11" i="39"/>
  <c r="A11" i="39"/>
  <c r="F12" i="25" l="1"/>
  <c r="L13" i="28"/>
  <c r="J13" i="28"/>
  <c r="H13" i="28"/>
  <c r="F13" i="28"/>
  <c r="J10" i="31"/>
  <c r="H10" i="31"/>
  <c r="G10" i="31"/>
  <c r="V6" i="37"/>
  <c r="L6" i="37"/>
  <c r="A6" i="37"/>
  <c r="AC5" i="37"/>
  <c r="AA5" i="37"/>
  <c r="L5" i="37"/>
  <c r="M14" i="28"/>
  <c r="D5" i="37"/>
  <c r="B5" i="37"/>
  <c r="P2" i="37"/>
  <c r="V6" i="36"/>
  <c r="L6" i="36"/>
  <c r="A6" i="36"/>
  <c r="A7" i="36" s="1"/>
  <c r="J7" i="36" s="1"/>
  <c r="AC5" i="36"/>
  <c r="AA5" i="36"/>
  <c r="L5" i="36"/>
  <c r="W5" i="36" s="1"/>
  <c r="Z5" i="36" s="1"/>
  <c r="L14" i="28"/>
  <c r="D5" i="36"/>
  <c r="B5" i="36"/>
  <c r="P2" i="36"/>
  <c r="O6" i="37" l="1"/>
  <c r="AB5" i="37"/>
  <c r="R5" i="36"/>
  <c r="AB5" i="36"/>
  <c r="AD5" i="36"/>
  <c r="A7" i="37"/>
  <c r="J7" i="37" s="1"/>
  <c r="B6" i="37"/>
  <c r="M6" i="37"/>
  <c r="N6" i="37" s="1"/>
  <c r="R5" i="37"/>
  <c r="W5" i="37"/>
  <c r="Z5" i="37" s="1"/>
  <c r="AD5" i="37"/>
  <c r="V7" i="36"/>
  <c r="B7" i="36"/>
  <c r="A8" i="36"/>
  <c r="J8" i="36" s="1"/>
  <c r="M7" i="36"/>
  <c r="N7" i="36" s="1"/>
  <c r="L7" i="36"/>
  <c r="B6" i="36"/>
  <c r="O6" i="36"/>
  <c r="O7" i="36" s="1"/>
  <c r="S6" i="36"/>
  <c r="T6" i="36" s="1"/>
  <c r="X6" i="36"/>
  <c r="Y6" i="36" s="1"/>
  <c r="M6" i="36"/>
  <c r="N6" i="36" s="1"/>
  <c r="J4" i="33"/>
  <c r="U5" i="36" l="1"/>
  <c r="J12" i="31"/>
  <c r="U5" i="37"/>
  <c r="K12" i="31"/>
  <c r="X6" i="37"/>
  <c r="Y6" i="37" s="1"/>
  <c r="A8" i="37"/>
  <c r="J8" i="37" s="1"/>
  <c r="M7" i="37"/>
  <c r="N7" i="37" s="1"/>
  <c r="L7" i="37"/>
  <c r="B7" i="37"/>
  <c r="V7" i="37"/>
  <c r="O7" i="37"/>
  <c r="S6" i="37"/>
  <c r="T6" i="37" s="1"/>
  <c r="O8" i="36"/>
  <c r="B8" i="36"/>
  <c r="V8" i="36"/>
  <c r="L8" i="36"/>
  <c r="A9" i="36"/>
  <c r="J9" i="36" s="1"/>
  <c r="M8" i="36"/>
  <c r="N8" i="36" s="1"/>
  <c r="AA5" i="19"/>
  <c r="K5" i="19"/>
  <c r="K14" i="28" s="1"/>
  <c r="AA5" i="11"/>
  <c r="AE8" i="36"/>
  <c r="AF8" i="36" s="1"/>
  <c r="K12" i="30" l="1"/>
  <c r="J12" i="30"/>
  <c r="Q12" i="31"/>
  <c r="P12" i="31"/>
  <c r="AE5" i="37"/>
  <c r="AF5" i="37" s="1"/>
  <c r="AE6" i="37"/>
  <c r="AF6" i="37" s="1"/>
  <c r="AE5" i="36"/>
  <c r="AF5" i="36" s="1"/>
  <c r="AE7" i="36"/>
  <c r="AF7" i="36" s="1"/>
  <c r="AE6" i="36"/>
  <c r="AF6" i="36" s="1"/>
  <c r="AE7" i="37"/>
  <c r="AF7" i="37" s="1"/>
  <c r="H6" i="11"/>
  <c r="H6" i="36"/>
  <c r="H7" i="36" s="1"/>
  <c r="H6" i="19"/>
  <c r="H6" i="37"/>
  <c r="H7" i="37" s="1"/>
  <c r="V8" i="37"/>
  <c r="M8" i="37"/>
  <c r="N8" i="37" s="1"/>
  <c r="B8" i="37"/>
  <c r="O8" i="37"/>
  <c r="A9" i="37"/>
  <c r="J9" i="37" s="1"/>
  <c r="L8" i="37"/>
  <c r="AE8" i="37"/>
  <c r="AF8" i="37" s="1"/>
  <c r="L9" i="36"/>
  <c r="M9" i="36"/>
  <c r="N9" i="36" s="1"/>
  <c r="AE9" i="36"/>
  <c r="AF9" i="36" s="1"/>
  <c r="O9" i="36"/>
  <c r="B9" i="36"/>
  <c r="V9" i="36"/>
  <c r="A10" i="36"/>
  <c r="J10" i="36" s="1"/>
  <c r="H8" i="37" l="1"/>
  <c r="H8" i="36"/>
  <c r="AE9" i="37"/>
  <c r="AF9" i="37" s="1"/>
  <c r="O9" i="37"/>
  <c r="B9" i="37"/>
  <c r="A10" i="37"/>
  <c r="J10" i="37" s="1"/>
  <c r="L9" i="37"/>
  <c r="M9" i="37"/>
  <c r="N9" i="37" s="1"/>
  <c r="V9" i="37"/>
  <c r="A11" i="36"/>
  <c r="J11" i="36" s="1"/>
  <c r="M10" i="36"/>
  <c r="N10" i="36" s="1"/>
  <c r="L10" i="36"/>
  <c r="AE10" i="36"/>
  <c r="AF10" i="36" s="1"/>
  <c r="O10" i="36"/>
  <c r="B10" i="36"/>
  <c r="V10" i="36"/>
  <c r="H9" i="37" l="1"/>
  <c r="H9" i="36"/>
  <c r="L10" i="37"/>
  <c r="AE10" i="37"/>
  <c r="AF10" i="37" s="1"/>
  <c r="O10" i="37"/>
  <c r="V10" i="37"/>
  <c r="M10" i="37"/>
  <c r="N10" i="37" s="1"/>
  <c r="A11" i="37"/>
  <c r="J11" i="37" s="1"/>
  <c r="B10" i="37"/>
  <c r="V11" i="36"/>
  <c r="A12" i="36"/>
  <c r="J12" i="36" s="1"/>
  <c r="M11" i="36"/>
  <c r="N11" i="36" s="1"/>
  <c r="L11" i="36"/>
  <c r="B11" i="36"/>
  <c r="AE11" i="36"/>
  <c r="AF11" i="36" s="1"/>
  <c r="O11" i="36"/>
  <c r="H10" i="37" l="1"/>
  <c r="H10" i="36"/>
  <c r="A12" i="37"/>
  <c r="J12" i="37" s="1"/>
  <c r="M11" i="37"/>
  <c r="N11" i="37" s="1"/>
  <c r="V11" i="37"/>
  <c r="L11" i="37"/>
  <c r="O11" i="37"/>
  <c r="AE11" i="37"/>
  <c r="AF11" i="37" s="1"/>
  <c r="B11" i="37"/>
  <c r="AE12" i="36"/>
  <c r="AF12" i="36" s="1"/>
  <c r="O12" i="36"/>
  <c r="B12" i="36"/>
  <c r="V12" i="36"/>
  <c r="A13" i="36"/>
  <c r="J13" i="36" s="1"/>
  <c r="M12" i="36"/>
  <c r="N12" i="36" s="1"/>
  <c r="L12" i="36"/>
  <c r="B5" i="19"/>
  <c r="B5" i="11"/>
  <c r="C12" i="30" s="1"/>
  <c r="E12" i="30" l="1"/>
  <c r="D12" i="30"/>
  <c r="E12" i="31"/>
  <c r="H11" i="37"/>
  <c r="H11" i="36"/>
  <c r="V12" i="37"/>
  <c r="A13" i="37"/>
  <c r="J13" i="37" s="1"/>
  <c r="L12" i="37"/>
  <c r="AE12" i="37"/>
  <c r="AF12" i="37" s="1"/>
  <c r="B12" i="37"/>
  <c r="M12" i="37"/>
  <c r="N12" i="37" s="1"/>
  <c r="O12" i="37"/>
  <c r="L13" i="36"/>
  <c r="AE13" i="36"/>
  <c r="AF13" i="36" s="1"/>
  <c r="O13" i="36"/>
  <c r="B13" i="36"/>
  <c r="V13" i="36"/>
  <c r="A14" i="36"/>
  <c r="J14" i="36" s="1"/>
  <c r="M13" i="36"/>
  <c r="N13" i="36" s="1"/>
  <c r="I4" i="33"/>
  <c r="D13" i="25"/>
  <c r="D12" i="31"/>
  <c r="D14" i="28"/>
  <c r="H4" i="33"/>
  <c r="C13" i="25"/>
  <c r="C12" i="31"/>
  <c r="C14" i="28"/>
  <c r="E13" i="25"/>
  <c r="E14" i="28"/>
  <c r="H12" i="37" l="1"/>
  <c r="H12" i="36"/>
  <c r="AE13" i="37"/>
  <c r="AF13" i="37" s="1"/>
  <c r="O13" i="37"/>
  <c r="B13" i="37"/>
  <c r="M13" i="37"/>
  <c r="N13" i="37" s="1"/>
  <c r="V13" i="37"/>
  <c r="A14" i="37"/>
  <c r="J14" i="37" s="1"/>
  <c r="L13" i="37"/>
  <c r="A15" i="36"/>
  <c r="J15" i="36" s="1"/>
  <c r="M14" i="36"/>
  <c r="N14" i="36" s="1"/>
  <c r="L14" i="36"/>
  <c r="AE14" i="36"/>
  <c r="AF14" i="36" s="1"/>
  <c r="O14" i="36"/>
  <c r="B14" i="36"/>
  <c r="V14" i="36"/>
  <c r="A6" i="19"/>
  <c r="A6" i="11"/>
  <c r="H13" i="37" l="1"/>
  <c r="H13" i="36"/>
  <c r="L14" i="37"/>
  <c r="B14" i="37"/>
  <c r="M14" i="37"/>
  <c r="N14" i="37" s="1"/>
  <c r="A15" i="37"/>
  <c r="J15" i="37" s="1"/>
  <c r="AE14" i="37"/>
  <c r="AF14" i="37" s="1"/>
  <c r="O14" i="37"/>
  <c r="V14" i="37"/>
  <c r="V15" i="36"/>
  <c r="A16" i="36"/>
  <c r="J16" i="36" s="1"/>
  <c r="M15" i="36"/>
  <c r="N15" i="36" s="1"/>
  <c r="L15" i="36"/>
  <c r="O15" i="36"/>
  <c r="B15" i="36"/>
  <c r="AE15" i="36"/>
  <c r="AF15" i="36" s="1"/>
  <c r="M6" i="11"/>
  <c r="B6" i="11"/>
  <c r="C13" i="30" s="1"/>
  <c r="A7" i="11"/>
  <c r="J7" i="11" s="1"/>
  <c r="B6" i="19"/>
  <c r="M6" i="19"/>
  <c r="A7" i="19"/>
  <c r="J7" i="19" s="1"/>
  <c r="AC5" i="19"/>
  <c r="AC5" i="11"/>
  <c r="H7" i="19" l="1"/>
  <c r="D13" i="30"/>
  <c r="E13" i="30"/>
  <c r="H14" i="37"/>
  <c r="H14" i="36"/>
  <c r="A16" i="37"/>
  <c r="J16" i="37" s="1"/>
  <c r="M15" i="37"/>
  <c r="N15" i="37" s="1"/>
  <c r="O15" i="37"/>
  <c r="B15" i="37"/>
  <c r="AE15" i="37"/>
  <c r="AF15" i="37" s="1"/>
  <c r="L15" i="37"/>
  <c r="V15" i="37"/>
  <c r="AE16" i="36"/>
  <c r="AF16" i="36" s="1"/>
  <c r="O16" i="36"/>
  <c r="B16" i="36"/>
  <c r="V16" i="36"/>
  <c r="A17" i="36"/>
  <c r="J17" i="36" s="1"/>
  <c r="M16" i="36"/>
  <c r="N16" i="36" s="1"/>
  <c r="L16" i="36"/>
  <c r="A8" i="11"/>
  <c r="J8" i="11" s="1"/>
  <c r="H7" i="11"/>
  <c r="B7" i="11"/>
  <c r="C14" i="30" s="1"/>
  <c r="M7" i="11"/>
  <c r="C13" i="31"/>
  <c r="C14" i="25"/>
  <c r="C15" i="28"/>
  <c r="H5" i="33"/>
  <c r="D13" i="31"/>
  <c r="D15" i="28"/>
  <c r="D14" i="25"/>
  <c r="I5" i="33"/>
  <c r="J5" i="33"/>
  <c r="M7" i="19"/>
  <c r="B7" i="19"/>
  <c r="A8" i="19"/>
  <c r="J8" i="19" s="1"/>
  <c r="E14" i="25"/>
  <c r="E13" i="31"/>
  <c r="E15" i="28"/>
  <c r="J14" i="28"/>
  <c r="D5" i="19"/>
  <c r="I14" i="28" s="1"/>
  <c r="D5" i="11"/>
  <c r="H14" i="28" s="1"/>
  <c r="H8" i="19" l="1"/>
  <c r="D14" i="30"/>
  <c r="E14" i="30"/>
  <c r="H15" i="37"/>
  <c r="H15" i="36"/>
  <c r="V16" i="37"/>
  <c r="M16" i="37"/>
  <c r="N16" i="37" s="1"/>
  <c r="B16" i="37"/>
  <c r="AE16" i="37"/>
  <c r="AF16" i="37" s="1"/>
  <c r="L16" i="37"/>
  <c r="A17" i="37"/>
  <c r="J17" i="37" s="1"/>
  <c r="O16" i="37"/>
  <c r="L17" i="36"/>
  <c r="AE17" i="36"/>
  <c r="AF17" i="36" s="1"/>
  <c r="O17" i="36"/>
  <c r="B17" i="36"/>
  <c r="V17" i="36"/>
  <c r="M17" i="36"/>
  <c r="N17" i="36" s="1"/>
  <c r="A18" i="36"/>
  <c r="J18" i="36" s="1"/>
  <c r="H6" i="33"/>
  <c r="C16" i="28"/>
  <c r="C15" i="25"/>
  <c r="C14" i="31"/>
  <c r="A9" i="11"/>
  <c r="J9" i="11" s="1"/>
  <c r="H8" i="11"/>
  <c r="B8" i="11"/>
  <c r="C15" i="30" s="1"/>
  <c r="M8" i="11"/>
  <c r="D14" i="31"/>
  <c r="D15" i="25"/>
  <c r="D16" i="28"/>
  <c r="I6" i="33"/>
  <c r="J6" i="33"/>
  <c r="A9" i="19"/>
  <c r="J9" i="19" s="1"/>
  <c r="M8" i="19"/>
  <c r="B8" i="19"/>
  <c r="E15" i="25"/>
  <c r="E16" i="28"/>
  <c r="E14" i="31"/>
  <c r="L5" i="19"/>
  <c r="L5" i="11"/>
  <c r="AD5" i="11" s="1"/>
  <c r="H9" i="19" l="1"/>
  <c r="D15" i="30"/>
  <c r="E15" i="30"/>
  <c r="H16" i="37"/>
  <c r="H16" i="36"/>
  <c r="AE17" i="37"/>
  <c r="AF17" i="37" s="1"/>
  <c r="O17" i="37"/>
  <c r="B17" i="37"/>
  <c r="M17" i="37"/>
  <c r="N17" i="37" s="1"/>
  <c r="V17" i="37"/>
  <c r="A18" i="37"/>
  <c r="J18" i="37" s="1"/>
  <c r="L17" i="37"/>
  <c r="A19" i="36"/>
  <c r="J19" i="36" s="1"/>
  <c r="M18" i="36"/>
  <c r="N18" i="36" s="1"/>
  <c r="L18" i="36"/>
  <c r="AE18" i="36"/>
  <c r="AF18" i="36" s="1"/>
  <c r="O18" i="36"/>
  <c r="B18" i="36"/>
  <c r="V18" i="36"/>
  <c r="C16" i="25"/>
  <c r="H7" i="33"/>
  <c r="C15" i="31"/>
  <c r="C17" i="28"/>
  <c r="A10" i="11"/>
  <c r="J10" i="11" s="1"/>
  <c r="H9" i="11"/>
  <c r="M9" i="11"/>
  <c r="B9" i="11"/>
  <c r="D16" i="25"/>
  <c r="D15" i="31"/>
  <c r="D17" i="28"/>
  <c r="I7" i="33"/>
  <c r="J7" i="33"/>
  <c r="E17" i="28"/>
  <c r="E15" i="31"/>
  <c r="E16" i="25"/>
  <c r="A10" i="19"/>
  <c r="J10" i="19" s="1"/>
  <c r="M9" i="19"/>
  <c r="B9" i="19"/>
  <c r="F14" i="28"/>
  <c r="K4" i="33"/>
  <c r="AB5" i="11"/>
  <c r="M4" i="33" s="1"/>
  <c r="G14" i="28"/>
  <c r="AD5" i="19"/>
  <c r="L4" i="33" s="1"/>
  <c r="AB5" i="19"/>
  <c r="N4" i="33" s="1"/>
  <c r="W5" i="11"/>
  <c r="R5" i="19"/>
  <c r="R5" i="11"/>
  <c r="W5" i="19"/>
  <c r="B110" i="17"/>
  <c r="B112" i="17" s="1"/>
  <c r="B99" i="17"/>
  <c r="C110" i="17"/>
  <c r="C112" i="17" s="1"/>
  <c r="I6" i="37"/>
  <c r="L6" i="19"/>
  <c r="C17" i="36" l="1"/>
  <c r="C10" i="36"/>
  <c r="C13" i="36"/>
  <c r="C8" i="36"/>
  <c r="C7" i="36"/>
  <c r="C9" i="36"/>
  <c r="B103" i="17"/>
  <c r="B116" i="17" s="1"/>
  <c r="C10" i="11"/>
  <c r="C19" i="36"/>
  <c r="B139" i="17"/>
  <c r="C18" i="36"/>
  <c r="C16" i="36"/>
  <c r="C15" i="36"/>
  <c r="C6" i="11"/>
  <c r="D6" i="11" s="1"/>
  <c r="C14" i="36"/>
  <c r="C7" i="11"/>
  <c r="C6" i="36"/>
  <c r="C12" i="36"/>
  <c r="C9" i="11"/>
  <c r="C11" i="36"/>
  <c r="C8" i="11"/>
  <c r="I7" i="37"/>
  <c r="I8" i="37" s="1"/>
  <c r="I9" i="37" s="1"/>
  <c r="I10" i="37" s="1"/>
  <c r="I11" i="37" s="1"/>
  <c r="I12" i="37" s="1"/>
  <c r="I13" i="37" s="1"/>
  <c r="I14" i="37" s="1"/>
  <c r="I15" i="37" s="1"/>
  <c r="I16" i="37" s="1"/>
  <c r="I17" i="37" s="1"/>
  <c r="I18" i="37" s="1"/>
  <c r="H10" i="19"/>
  <c r="C99" i="17"/>
  <c r="C10" i="19" s="1"/>
  <c r="I6" i="36"/>
  <c r="H17" i="37"/>
  <c r="H17" i="36"/>
  <c r="G6" i="11"/>
  <c r="G6" i="36"/>
  <c r="G6" i="37"/>
  <c r="U6" i="37" s="1"/>
  <c r="L18" i="37"/>
  <c r="AE18" i="37"/>
  <c r="AF18" i="37" s="1"/>
  <c r="O18" i="37"/>
  <c r="A19" i="37"/>
  <c r="J19" i="37" s="1"/>
  <c r="B18" i="37"/>
  <c r="M18" i="37"/>
  <c r="N18" i="37" s="1"/>
  <c r="V18" i="37"/>
  <c r="V19" i="36"/>
  <c r="A20" i="36"/>
  <c r="J20" i="36" s="1"/>
  <c r="M19" i="36"/>
  <c r="N19" i="36" s="1"/>
  <c r="L19" i="36"/>
  <c r="AE19" i="36"/>
  <c r="AF19" i="36" s="1"/>
  <c r="O19" i="36"/>
  <c r="B19" i="36"/>
  <c r="A11" i="11"/>
  <c r="J11" i="11" s="1"/>
  <c r="M10" i="11"/>
  <c r="H10" i="11"/>
  <c r="B10" i="11"/>
  <c r="C16" i="31"/>
  <c r="C18" i="28"/>
  <c r="C16" i="30"/>
  <c r="C17" i="25"/>
  <c r="H8" i="33"/>
  <c r="D18" i="28"/>
  <c r="D17" i="25"/>
  <c r="D16" i="30"/>
  <c r="D16" i="31"/>
  <c r="I8" i="33"/>
  <c r="J8" i="33"/>
  <c r="A11" i="19"/>
  <c r="J11" i="19" s="1"/>
  <c r="B10" i="19"/>
  <c r="M10" i="19"/>
  <c r="E17" i="25"/>
  <c r="E16" i="31"/>
  <c r="E16" i="30"/>
  <c r="E18" i="28"/>
  <c r="AE6" i="11"/>
  <c r="AF6" i="11" s="1"/>
  <c r="F14" i="25" s="1"/>
  <c r="AE10" i="11"/>
  <c r="AF10" i="11" s="1"/>
  <c r="F18" i="25" s="1"/>
  <c r="AE7" i="11"/>
  <c r="AF7" i="11" s="1"/>
  <c r="F15" i="25" s="1"/>
  <c r="AE11" i="11"/>
  <c r="AF11" i="11" s="1"/>
  <c r="F19" i="25" s="1"/>
  <c r="AE8" i="11"/>
  <c r="AF8" i="11" s="1"/>
  <c r="F16" i="25" s="1"/>
  <c r="AE5" i="11"/>
  <c r="AF5" i="11" s="1"/>
  <c r="F13" i="25" s="1"/>
  <c r="AE9" i="11"/>
  <c r="AF9" i="11" s="1"/>
  <c r="F17" i="25" s="1"/>
  <c r="AE6" i="19"/>
  <c r="AF6" i="19" s="1"/>
  <c r="G14" i="25" s="1"/>
  <c r="AE10" i="19"/>
  <c r="AF10" i="19" s="1"/>
  <c r="G18" i="25" s="1"/>
  <c r="AE7" i="19"/>
  <c r="AF7" i="19" s="1"/>
  <c r="G15" i="25" s="1"/>
  <c r="AE8" i="19"/>
  <c r="AF8" i="19" s="1"/>
  <c r="G16" i="25" s="1"/>
  <c r="AE5" i="19"/>
  <c r="AF5" i="19" s="1"/>
  <c r="G13" i="25" s="1"/>
  <c r="AE9" i="19"/>
  <c r="AF9" i="19" s="1"/>
  <c r="G17" i="25" s="1"/>
  <c r="L7" i="19"/>
  <c r="G15" i="28"/>
  <c r="X6" i="19"/>
  <c r="G12" i="31"/>
  <c r="F12" i="31"/>
  <c r="X6" i="11"/>
  <c r="S6" i="11"/>
  <c r="H12" i="31"/>
  <c r="I12" i="31"/>
  <c r="S6" i="19"/>
  <c r="C125" i="17"/>
  <c r="B125" i="17"/>
  <c r="U5" i="19"/>
  <c r="I12" i="30" s="1"/>
  <c r="Z5" i="11"/>
  <c r="U5" i="11"/>
  <c r="Z5" i="19"/>
  <c r="G12" i="30" s="1"/>
  <c r="I19" i="37" l="1"/>
  <c r="AE11" i="19"/>
  <c r="AF11" i="19" s="1"/>
  <c r="G19" i="25" s="1"/>
  <c r="C20" i="36"/>
  <c r="C11" i="11"/>
  <c r="G7" i="11"/>
  <c r="P6" i="37"/>
  <c r="Q6" i="37" s="1"/>
  <c r="K6" i="37"/>
  <c r="M15" i="28" s="1"/>
  <c r="R6" i="37"/>
  <c r="Q13" i="31"/>
  <c r="K6" i="36"/>
  <c r="L15" i="28" s="1"/>
  <c r="P6" i="36"/>
  <c r="Q6" i="36" s="1"/>
  <c r="R6" i="36"/>
  <c r="P13" i="31"/>
  <c r="I7" i="36"/>
  <c r="I8" i="36" s="1"/>
  <c r="I9" i="36" s="1"/>
  <c r="I10" i="36" s="1"/>
  <c r="I11" i="36" s="1"/>
  <c r="I12" i="36" s="1"/>
  <c r="I13" i="36" s="1"/>
  <c r="I14" i="36" s="1"/>
  <c r="I15" i="36" s="1"/>
  <c r="I16" i="36" s="1"/>
  <c r="I17" i="36" s="1"/>
  <c r="I18" i="36" s="1"/>
  <c r="I19" i="36" s="1"/>
  <c r="I20" i="36" s="1"/>
  <c r="U6" i="36"/>
  <c r="J13" i="30" s="1"/>
  <c r="C103" i="17"/>
  <c r="C8" i="37"/>
  <c r="E8" i="37" s="1"/>
  <c r="C139" i="17"/>
  <c r="C16" i="37"/>
  <c r="E16" i="37" s="1"/>
  <c r="C17" i="37"/>
  <c r="E17" i="37" s="1"/>
  <c r="C19" i="37"/>
  <c r="E19" i="37" s="1"/>
  <c r="C10" i="37"/>
  <c r="E10" i="37" s="1"/>
  <c r="C7" i="37"/>
  <c r="E7" i="37" s="1"/>
  <c r="C13" i="37"/>
  <c r="E13" i="37" s="1"/>
  <c r="C9" i="37"/>
  <c r="E9" i="37" s="1"/>
  <c r="C15" i="37"/>
  <c r="C6" i="37"/>
  <c r="C12" i="37"/>
  <c r="C11" i="37"/>
  <c r="C18" i="37"/>
  <c r="E18" i="37" s="1"/>
  <c r="C14" i="37"/>
  <c r="C6" i="19"/>
  <c r="C7" i="19"/>
  <c r="M14" i="31" s="1"/>
  <c r="C8" i="19"/>
  <c r="M15" i="31" s="1"/>
  <c r="C9" i="19"/>
  <c r="M16" i="31" s="1"/>
  <c r="C11" i="19"/>
  <c r="H11" i="19"/>
  <c r="N12" i="31"/>
  <c r="H12" i="30"/>
  <c r="L12" i="31"/>
  <c r="F12" i="30"/>
  <c r="H18" i="37"/>
  <c r="H18" i="36"/>
  <c r="G7" i="36"/>
  <c r="AA6" i="36"/>
  <c r="G7" i="37"/>
  <c r="AA6" i="37"/>
  <c r="AB6" i="37" s="1"/>
  <c r="E7" i="36"/>
  <c r="E8" i="36"/>
  <c r="E9" i="36"/>
  <c r="E19" i="36"/>
  <c r="A20" i="37"/>
  <c r="J20" i="37" s="1"/>
  <c r="M19" i="37"/>
  <c r="N19" i="37" s="1"/>
  <c r="V19" i="37"/>
  <c r="AE19" i="37"/>
  <c r="AF19" i="37" s="1"/>
  <c r="O19" i="37"/>
  <c r="B19" i="37"/>
  <c r="L19" i="37"/>
  <c r="AE20" i="36"/>
  <c r="AF20" i="36" s="1"/>
  <c r="O20" i="36"/>
  <c r="B20" i="36"/>
  <c r="V20" i="36"/>
  <c r="A21" i="36"/>
  <c r="M20" i="36"/>
  <c r="N20" i="36" s="1"/>
  <c r="L20" i="36"/>
  <c r="C17" i="31"/>
  <c r="H9" i="33"/>
  <c r="C19" i="28"/>
  <c r="C17" i="30"/>
  <c r="C18" i="25"/>
  <c r="A12" i="11"/>
  <c r="B11" i="11"/>
  <c r="M11" i="11"/>
  <c r="H11" i="11"/>
  <c r="D17" i="31"/>
  <c r="D19" i="28"/>
  <c r="D17" i="30"/>
  <c r="D18" i="25"/>
  <c r="I9" i="33"/>
  <c r="J9" i="33"/>
  <c r="E18" i="25"/>
  <c r="E17" i="31"/>
  <c r="E19" i="28"/>
  <c r="E17" i="30"/>
  <c r="A12" i="19"/>
  <c r="J12" i="19" s="1"/>
  <c r="M11" i="19"/>
  <c r="B11" i="19"/>
  <c r="M12" i="31"/>
  <c r="O12" i="31"/>
  <c r="L14" i="31"/>
  <c r="L15" i="31"/>
  <c r="L16" i="31"/>
  <c r="L8" i="19"/>
  <c r="G16" i="28"/>
  <c r="J12" i="11" l="1"/>
  <c r="C12" i="11"/>
  <c r="J21" i="36"/>
  <c r="C21" i="36"/>
  <c r="C20" i="37"/>
  <c r="I21" i="36"/>
  <c r="I20" i="37"/>
  <c r="P7" i="37"/>
  <c r="Q7" i="37" s="1"/>
  <c r="Q14" i="31"/>
  <c r="K7" i="37"/>
  <c r="M16" i="28" s="1"/>
  <c r="K7" i="36"/>
  <c r="P7" i="36"/>
  <c r="Q7" i="36" s="1"/>
  <c r="P14" i="31"/>
  <c r="G8" i="11"/>
  <c r="C12" i="19"/>
  <c r="H12" i="19"/>
  <c r="H19" i="37"/>
  <c r="H19" i="36"/>
  <c r="AB6" i="36"/>
  <c r="E16" i="36"/>
  <c r="E12" i="36"/>
  <c r="E15" i="37"/>
  <c r="E11" i="37"/>
  <c r="E17" i="36"/>
  <c r="E15" i="36"/>
  <c r="E11" i="36"/>
  <c r="K13" i="31"/>
  <c r="K13" i="30"/>
  <c r="S7" i="37"/>
  <c r="T7" i="37" s="1"/>
  <c r="U7" i="37" s="1"/>
  <c r="G8" i="37"/>
  <c r="E14" i="37"/>
  <c r="E6" i="37"/>
  <c r="F6" i="37" s="1"/>
  <c r="F7" i="37" s="1"/>
  <c r="F8" i="37" s="1"/>
  <c r="F9" i="37" s="1"/>
  <c r="F10" i="37" s="1"/>
  <c r="D6" i="37"/>
  <c r="D7" i="37" s="1"/>
  <c r="D8" i="37" s="1"/>
  <c r="D9" i="37" s="1"/>
  <c r="D10" i="37" s="1"/>
  <c r="D11" i="37" s="1"/>
  <c r="D12" i="37" s="1"/>
  <c r="D13" i="37" s="1"/>
  <c r="D14" i="37" s="1"/>
  <c r="D15" i="37" s="1"/>
  <c r="D16" i="37" s="1"/>
  <c r="D17" i="37" s="1"/>
  <c r="D18" i="37" s="1"/>
  <c r="D19" i="37" s="1"/>
  <c r="AC6" i="37"/>
  <c r="AD6" i="37" s="1"/>
  <c r="Z6" i="37"/>
  <c r="W6" i="37"/>
  <c r="E13" i="36"/>
  <c r="E12" i="37"/>
  <c r="E18" i="36"/>
  <c r="E14" i="36"/>
  <c r="E10" i="36"/>
  <c r="D6" i="36"/>
  <c r="D7" i="36" s="1"/>
  <c r="D8" i="36" s="1"/>
  <c r="D9" i="36" s="1"/>
  <c r="D10" i="36" s="1"/>
  <c r="D11" i="36" s="1"/>
  <c r="D12" i="36" s="1"/>
  <c r="D13" i="36" s="1"/>
  <c r="D14" i="36" s="1"/>
  <c r="D15" i="36" s="1"/>
  <c r="D16" i="36" s="1"/>
  <c r="D17" i="36" s="1"/>
  <c r="D18" i="36" s="1"/>
  <c r="D19" i="36" s="1"/>
  <c r="D20" i="36" s="1"/>
  <c r="AC6" i="36"/>
  <c r="E6" i="36"/>
  <c r="F6" i="36" s="1"/>
  <c r="F7" i="36" s="1"/>
  <c r="F8" i="36" s="1"/>
  <c r="F9" i="36" s="1"/>
  <c r="W6" i="36"/>
  <c r="Z6" i="36"/>
  <c r="J13" i="31"/>
  <c r="S7" i="36"/>
  <c r="T7" i="36" s="1"/>
  <c r="G8" i="36"/>
  <c r="V20" i="37"/>
  <c r="A21" i="37"/>
  <c r="L20" i="37"/>
  <c r="O20" i="37"/>
  <c r="M20" i="37"/>
  <c r="N20" i="37" s="1"/>
  <c r="E20" i="37"/>
  <c r="AE20" i="37"/>
  <c r="AF20" i="37" s="1"/>
  <c r="B20" i="37"/>
  <c r="E20" i="36"/>
  <c r="L21" i="36"/>
  <c r="AE21" i="36"/>
  <c r="AF21" i="36" s="1"/>
  <c r="O21" i="36"/>
  <c r="B21" i="36"/>
  <c r="V21" i="36"/>
  <c r="A22" i="36"/>
  <c r="M21" i="36"/>
  <c r="N21" i="36" s="1"/>
  <c r="C20" i="28"/>
  <c r="C18" i="30"/>
  <c r="C19" i="25"/>
  <c r="H10" i="33"/>
  <c r="C18" i="31"/>
  <c r="A13" i="11"/>
  <c r="B12" i="11"/>
  <c r="M12" i="11"/>
  <c r="H12" i="11"/>
  <c r="AE12" i="11"/>
  <c r="AF12" i="11" s="1"/>
  <c r="F20" i="25" s="1"/>
  <c r="D18" i="30"/>
  <c r="D18" i="31"/>
  <c r="D20" i="28"/>
  <c r="D19" i="25"/>
  <c r="I10" i="33"/>
  <c r="J10" i="33"/>
  <c r="L17" i="31"/>
  <c r="M17" i="31"/>
  <c r="L13" i="31"/>
  <c r="E18" i="30"/>
  <c r="E19" i="25"/>
  <c r="E20" i="28"/>
  <c r="E18" i="31"/>
  <c r="A13" i="19"/>
  <c r="J13" i="19" s="1"/>
  <c r="M12" i="19"/>
  <c r="B12" i="19"/>
  <c r="AE12" i="19"/>
  <c r="AF12" i="19" s="1"/>
  <c r="G20" i="25" s="1"/>
  <c r="M13" i="31"/>
  <c r="D6" i="19"/>
  <c r="L9" i="19"/>
  <c r="G17" i="28"/>
  <c r="E12" i="25"/>
  <c r="E10" i="31" s="1"/>
  <c r="B133" i="17"/>
  <c r="J22" i="36" l="1"/>
  <c r="C22" i="36"/>
  <c r="J13" i="11"/>
  <c r="C13" i="11"/>
  <c r="J21" i="37"/>
  <c r="C21" i="37"/>
  <c r="I21" i="37"/>
  <c r="I22" i="36"/>
  <c r="K8" i="36"/>
  <c r="L17" i="28" s="1"/>
  <c r="P8" i="36"/>
  <c r="Q8" i="36" s="1"/>
  <c r="P15" i="31"/>
  <c r="G9" i="11"/>
  <c r="K8" i="37"/>
  <c r="M17" i="28" s="1"/>
  <c r="L16" i="28"/>
  <c r="P8" i="37"/>
  <c r="Q8" i="37" s="1"/>
  <c r="Q15" i="31"/>
  <c r="AA7" i="37"/>
  <c r="R7" i="37"/>
  <c r="U7" i="36"/>
  <c r="R7" i="36"/>
  <c r="C13" i="19"/>
  <c r="H13" i="19"/>
  <c r="H20" i="37"/>
  <c r="H20" i="36"/>
  <c r="D20" i="37"/>
  <c r="D21" i="36"/>
  <c r="X7" i="37"/>
  <c r="Y7" i="37" s="1"/>
  <c r="AC7" i="37" s="1"/>
  <c r="G9" i="37"/>
  <c r="AD6" i="36"/>
  <c r="F11" i="37"/>
  <c r="F12" i="37" s="1"/>
  <c r="F13" i="37" s="1"/>
  <c r="F14" i="37" s="1"/>
  <c r="F15" i="37" s="1"/>
  <c r="F16" i="37" s="1"/>
  <c r="F17" i="37" s="1"/>
  <c r="F18" i="37" s="1"/>
  <c r="F19" i="37" s="1"/>
  <c r="F20" i="37" s="1"/>
  <c r="AA7" i="36"/>
  <c r="AB7" i="36" s="1"/>
  <c r="G9" i="36"/>
  <c r="AB7" i="37"/>
  <c r="X7" i="36"/>
  <c r="Y7" i="36" s="1"/>
  <c r="Z7" i="36" s="1"/>
  <c r="F10" i="36"/>
  <c r="F11" i="36" s="1"/>
  <c r="F12" i="36" s="1"/>
  <c r="F13" i="36" s="1"/>
  <c r="F14" i="36" s="1"/>
  <c r="F15" i="36" s="1"/>
  <c r="F16" i="36" s="1"/>
  <c r="F17" i="36" s="1"/>
  <c r="F18" i="36" s="1"/>
  <c r="F19" i="36" s="1"/>
  <c r="F20" i="36" s="1"/>
  <c r="E21" i="36"/>
  <c r="AE21" i="37"/>
  <c r="AF21" i="37" s="1"/>
  <c r="O21" i="37"/>
  <c r="B21" i="37"/>
  <c r="M21" i="37"/>
  <c r="N21" i="37" s="1"/>
  <c r="A22" i="37"/>
  <c r="L21" i="37"/>
  <c r="V21" i="37"/>
  <c r="E21" i="37"/>
  <c r="A23" i="36"/>
  <c r="M22" i="36"/>
  <c r="N22" i="36" s="1"/>
  <c r="L22" i="36"/>
  <c r="AE22" i="36"/>
  <c r="AF22" i="36" s="1"/>
  <c r="O22" i="36"/>
  <c r="B22" i="36"/>
  <c r="V22" i="36"/>
  <c r="C19" i="31"/>
  <c r="H11" i="33"/>
  <c r="C19" i="30"/>
  <c r="C20" i="25"/>
  <c r="C21" i="28"/>
  <c r="A14" i="11"/>
  <c r="B13" i="11"/>
  <c r="M13" i="11"/>
  <c r="H13" i="11"/>
  <c r="AE13" i="11"/>
  <c r="AF13" i="11" s="1"/>
  <c r="F21" i="25" s="1"/>
  <c r="D20" i="25"/>
  <c r="D19" i="30"/>
  <c r="D21" i="28"/>
  <c r="D19" i="31"/>
  <c r="I11" i="33"/>
  <c r="J11" i="33"/>
  <c r="M18" i="31"/>
  <c r="L18" i="31"/>
  <c r="E20" i="25"/>
  <c r="E19" i="31"/>
  <c r="E21" i="28"/>
  <c r="E19" i="30"/>
  <c r="A14" i="19"/>
  <c r="J14" i="19" s="1"/>
  <c r="B13" i="19"/>
  <c r="M13" i="19"/>
  <c r="AE13" i="19"/>
  <c r="AF13" i="19" s="1"/>
  <c r="G21" i="25" s="1"/>
  <c r="L10" i="19"/>
  <c r="G18" i="28"/>
  <c r="I23" i="36" l="1"/>
  <c r="I22" i="37"/>
  <c r="J14" i="11"/>
  <c r="C14" i="11"/>
  <c r="J23" i="36"/>
  <c r="C23" i="36"/>
  <c r="J22" i="37"/>
  <c r="C22" i="37"/>
  <c r="E22" i="37" s="1"/>
  <c r="P9" i="37"/>
  <c r="Q9" i="37" s="1"/>
  <c r="Q16" i="31"/>
  <c r="K9" i="37"/>
  <c r="M18" i="28" s="1"/>
  <c r="G10" i="11"/>
  <c r="P9" i="36"/>
  <c r="Q9" i="36" s="1"/>
  <c r="P16" i="31"/>
  <c r="K9" i="36"/>
  <c r="L18" i="28" s="1"/>
  <c r="K14" i="30"/>
  <c r="J14" i="30"/>
  <c r="C14" i="19"/>
  <c r="H14" i="19"/>
  <c r="D22" i="36"/>
  <c r="H21" i="37"/>
  <c r="H21" i="36"/>
  <c r="F21" i="36"/>
  <c r="Z7" i="37"/>
  <c r="W7" i="36"/>
  <c r="X8" i="36" s="1"/>
  <c r="Y8" i="36" s="1"/>
  <c r="W8" i="36" s="1"/>
  <c r="X9" i="36" s="1"/>
  <c r="Y9" i="36" s="1"/>
  <c r="W9" i="36" s="1"/>
  <c r="X10" i="36" s="1"/>
  <c r="Y10" i="36" s="1"/>
  <c r="W10" i="36" s="1"/>
  <c r="G10" i="36"/>
  <c r="S8" i="37"/>
  <c r="T8" i="37" s="1"/>
  <c r="U8" i="37" s="1"/>
  <c r="K14" i="31"/>
  <c r="G10" i="37"/>
  <c r="AD7" i="37"/>
  <c r="J14" i="31"/>
  <c r="S8" i="36"/>
  <c r="T8" i="36" s="1"/>
  <c r="U8" i="36" s="1"/>
  <c r="AC7" i="36"/>
  <c r="W7" i="37"/>
  <c r="E22" i="36"/>
  <c r="A23" i="37"/>
  <c r="V22" i="37"/>
  <c r="L22" i="37"/>
  <c r="B22" i="37"/>
  <c r="AE22" i="37"/>
  <c r="AF22" i="37" s="1"/>
  <c r="O22" i="37"/>
  <c r="M22" i="37"/>
  <c r="N22" i="37" s="1"/>
  <c r="D21" i="37"/>
  <c r="F21" i="37"/>
  <c r="V23" i="36"/>
  <c r="A24" i="36"/>
  <c r="M23" i="36"/>
  <c r="N23" i="36" s="1"/>
  <c r="L23" i="36"/>
  <c r="B23" i="36"/>
  <c r="AE23" i="36"/>
  <c r="AF23" i="36" s="1"/>
  <c r="O23" i="36"/>
  <c r="C20" i="31"/>
  <c r="H12" i="33"/>
  <c r="C22" i="28"/>
  <c r="C20" i="30"/>
  <c r="C21" i="25"/>
  <c r="A15" i="11"/>
  <c r="M14" i="11"/>
  <c r="B14" i="11"/>
  <c r="H14" i="11"/>
  <c r="AE14" i="11"/>
  <c r="AF14" i="11" s="1"/>
  <c r="F22" i="25" s="1"/>
  <c r="D22" i="28"/>
  <c r="D20" i="30"/>
  <c r="D21" i="25"/>
  <c r="D20" i="31"/>
  <c r="I12" i="33"/>
  <c r="J12" i="33"/>
  <c r="A15" i="19"/>
  <c r="J15" i="19" s="1"/>
  <c r="B14" i="19"/>
  <c r="M14" i="19"/>
  <c r="AE14" i="19"/>
  <c r="AF14" i="19" s="1"/>
  <c r="G22" i="25" s="1"/>
  <c r="M19" i="31"/>
  <c r="L19" i="31"/>
  <c r="E20" i="31"/>
  <c r="E22" i="28"/>
  <c r="E20" i="30"/>
  <c r="E21" i="25"/>
  <c r="L11" i="19"/>
  <c r="G19" i="28"/>
  <c r="V6" i="19"/>
  <c r="V7" i="19" s="1"/>
  <c r="V8" i="19" s="1"/>
  <c r="V9" i="19" s="1"/>
  <c r="V10" i="19" s="1"/>
  <c r="V11" i="19" s="1"/>
  <c r="V12" i="19" s="1"/>
  <c r="V13" i="19" s="1"/>
  <c r="V14" i="19" s="1"/>
  <c r="V15" i="19" s="1"/>
  <c r="V6" i="11"/>
  <c r="V7" i="11" s="1"/>
  <c r="V8" i="11" s="1"/>
  <c r="V9" i="11" s="1"/>
  <c r="V10" i="11" s="1"/>
  <c r="V11" i="11" s="1"/>
  <c r="V12" i="11" s="1"/>
  <c r="V13" i="11" s="1"/>
  <c r="V14" i="11" s="1"/>
  <c r="V15" i="11" s="1"/>
  <c r="L6" i="11"/>
  <c r="J23" i="37" l="1"/>
  <c r="C23" i="37"/>
  <c r="J24" i="36"/>
  <c r="C24" i="36"/>
  <c r="J15" i="11"/>
  <c r="C15" i="11"/>
  <c r="I23" i="37"/>
  <c r="I24" i="36"/>
  <c r="P10" i="36"/>
  <c r="Q10" i="36" s="1"/>
  <c r="P17" i="31"/>
  <c r="K10" i="37"/>
  <c r="M19" i="28" s="1"/>
  <c r="G11" i="11"/>
  <c r="P10" i="37"/>
  <c r="Q10" i="37" s="1"/>
  <c r="Q17" i="31"/>
  <c r="K10" i="36"/>
  <c r="L19" i="28" s="1"/>
  <c r="R8" i="36"/>
  <c r="J15" i="31" s="1"/>
  <c r="K15" i="30"/>
  <c r="R8" i="37"/>
  <c r="D23" i="36"/>
  <c r="C15" i="19"/>
  <c r="H15" i="19"/>
  <c r="F22" i="36"/>
  <c r="H22" i="37"/>
  <c r="H22" i="36"/>
  <c r="Z8" i="36"/>
  <c r="Z9" i="36" s="1"/>
  <c r="Z10" i="36" s="1"/>
  <c r="X8" i="37"/>
  <c r="Y8" i="37" s="1"/>
  <c r="AC8" i="37" s="1"/>
  <c r="AD8" i="37" s="1"/>
  <c r="G11" i="37"/>
  <c r="X11" i="36"/>
  <c r="Y11" i="36" s="1"/>
  <c r="W11" i="36" s="1"/>
  <c r="AD7" i="36"/>
  <c r="AC8" i="36"/>
  <c r="AA8" i="36"/>
  <c r="AB8" i="36" s="1"/>
  <c r="J15" i="30"/>
  <c r="D22" i="37"/>
  <c r="AA8" i="37"/>
  <c r="G11" i="36"/>
  <c r="E23" i="36"/>
  <c r="A24" i="37"/>
  <c r="M23" i="37"/>
  <c r="N23" i="37" s="1"/>
  <c r="L23" i="37"/>
  <c r="O23" i="37"/>
  <c r="V23" i="37"/>
  <c r="AE23" i="37"/>
  <c r="AF23" i="37" s="1"/>
  <c r="B23" i="37"/>
  <c r="F22" i="37"/>
  <c r="AE24" i="36"/>
  <c r="AF24" i="36" s="1"/>
  <c r="O24" i="36"/>
  <c r="B24" i="36"/>
  <c r="V24" i="36"/>
  <c r="A25" i="36"/>
  <c r="M24" i="36"/>
  <c r="N24" i="36" s="1"/>
  <c r="L24" i="36"/>
  <c r="A16" i="11"/>
  <c r="B15" i="11"/>
  <c r="M15" i="11"/>
  <c r="H15" i="11"/>
  <c r="AE15" i="11"/>
  <c r="AF15" i="11" s="1"/>
  <c r="F23" i="25" s="1"/>
  <c r="C21" i="31"/>
  <c r="C23" i="28"/>
  <c r="C21" i="30"/>
  <c r="C22" i="25"/>
  <c r="H13" i="33"/>
  <c r="D21" i="31"/>
  <c r="D23" i="28"/>
  <c r="D22" i="25"/>
  <c r="D21" i="30"/>
  <c r="I13" i="33"/>
  <c r="J13" i="33"/>
  <c r="L20" i="31"/>
  <c r="E23" i="28"/>
  <c r="E22" i="25"/>
  <c r="E21" i="30"/>
  <c r="E21" i="31"/>
  <c r="A16" i="19"/>
  <c r="J16" i="19" s="1"/>
  <c r="M15" i="19"/>
  <c r="B15" i="19"/>
  <c r="AE15" i="19"/>
  <c r="AF15" i="19" s="1"/>
  <c r="G23" i="25" s="1"/>
  <c r="V16" i="19"/>
  <c r="M20" i="31"/>
  <c r="L12" i="19"/>
  <c r="G20" i="28"/>
  <c r="L7" i="11"/>
  <c r="F15" i="28"/>
  <c r="T6" i="11"/>
  <c r="D24" i="36" l="1"/>
  <c r="J16" i="11"/>
  <c r="C16" i="11"/>
  <c r="I25" i="36"/>
  <c r="I24" i="37"/>
  <c r="C25" i="36"/>
  <c r="J25" i="36"/>
  <c r="J24" i="37"/>
  <c r="C24" i="37"/>
  <c r="S9" i="36"/>
  <c r="T9" i="36" s="1"/>
  <c r="R9" i="36" s="1"/>
  <c r="J16" i="31" s="1"/>
  <c r="K11" i="37"/>
  <c r="M20" i="28" s="1"/>
  <c r="P11" i="37"/>
  <c r="Q11" i="37" s="1"/>
  <c r="Q18" i="31"/>
  <c r="G12" i="11"/>
  <c r="P11" i="36"/>
  <c r="Q11" i="36" s="1"/>
  <c r="P18" i="31"/>
  <c r="K11" i="36"/>
  <c r="L20" i="28" s="1"/>
  <c r="C16" i="19"/>
  <c r="H16" i="19"/>
  <c r="F23" i="36"/>
  <c r="H23" i="37"/>
  <c r="H23" i="36"/>
  <c r="D23" i="37"/>
  <c r="Z8" i="37"/>
  <c r="Z11" i="36"/>
  <c r="AC9" i="36"/>
  <c r="AD8" i="36"/>
  <c r="K15" i="31"/>
  <c r="S9" i="37"/>
  <c r="T9" i="37" s="1"/>
  <c r="U9" i="37" s="1"/>
  <c r="G12" i="37"/>
  <c r="W8" i="37"/>
  <c r="AB8" i="37"/>
  <c r="X12" i="36"/>
  <c r="Y12" i="36" s="1"/>
  <c r="G12" i="36"/>
  <c r="E23" i="37"/>
  <c r="F23" i="37" s="1"/>
  <c r="V24" i="37"/>
  <c r="M24" i="37"/>
  <c r="N24" i="37" s="1"/>
  <c r="B24" i="37"/>
  <c r="AE24" i="37"/>
  <c r="AF24" i="37" s="1"/>
  <c r="L24" i="37"/>
  <c r="E24" i="37"/>
  <c r="A25" i="37"/>
  <c r="O24" i="37"/>
  <c r="E24" i="36"/>
  <c r="L25" i="36"/>
  <c r="D25" i="36"/>
  <c r="AE25" i="36"/>
  <c r="AF25" i="36" s="1"/>
  <c r="O25" i="36"/>
  <c r="B25" i="36"/>
  <c r="V25" i="36"/>
  <c r="A26" i="36"/>
  <c r="C26" i="36" s="1"/>
  <c r="M25" i="36"/>
  <c r="N25" i="36" s="1"/>
  <c r="C24" i="28"/>
  <c r="C23" i="25"/>
  <c r="C22" i="30"/>
  <c r="C22" i="31"/>
  <c r="H14" i="33"/>
  <c r="A17" i="11"/>
  <c r="B16" i="11"/>
  <c r="M16" i="11"/>
  <c r="H16" i="11"/>
  <c r="AE16" i="11"/>
  <c r="AF16" i="11" s="1"/>
  <c r="F24" i="25" s="1"/>
  <c r="V16" i="11"/>
  <c r="V17" i="11" s="1"/>
  <c r="D22" i="30"/>
  <c r="D24" i="28"/>
  <c r="D22" i="31"/>
  <c r="D23" i="25"/>
  <c r="I14" i="33"/>
  <c r="J14" i="33"/>
  <c r="L21" i="31"/>
  <c r="A17" i="19"/>
  <c r="J17" i="19" s="1"/>
  <c r="M16" i="19"/>
  <c r="B16" i="19"/>
  <c r="AE16" i="19"/>
  <c r="AF16" i="19" s="1"/>
  <c r="G24" i="25" s="1"/>
  <c r="M21" i="31"/>
  <c r="E22" i="31"/>
  <c r="E23" i="25"/>
  <c r="E24" i="28"/>
  <c r="E22" i="30"/>
  <c r="L8" i="11"/>
  <c r="F16" i="28"/>
  <c r="L13" i="19"/>
  <c r="G21" i="28"/>
  <c r="Y6" i="19"/>
  <c r="P2" i="19"/>
  <c r="I6" i="19"/>
  <c r="I7" i="19" s="1"/>
  <c r="I8" i="19" s="1"/>
  <c r="I9" i="19" s="1"/>
  <c r="I10" i="19" s="1"/>
  <c r="I11" i="19" s="1"/>
  <c r="I12" i="19" s="1"/>
  <c r="I13" i="19" s="1"/>
  <c r="I14" i="19" s="1"/>
  <c r="I15" i="19" s="1"/>
  <c r="I16" i="19" s="1"/>
  <c r="C131" i="17"/>
  <c r="C133" i="17" s="1"/>
  <c r="I17" i="19" l="1"/>
  <c r="I25" i="37"/>
  <c r="I26" i="36"/>
  <c r="J26" i="36"/>
  <c r="J17" i="11"/>
  <c r="C17" i="11"/>
  <c r="J25" i="37"/>
  <c r="C25" i="37"/>
  <c r="U9" i="36"/>
  <c r="J16" i="30" s="1"/>
  <c r="AA9" i="36"/>
  <c r="AB9" i="36" s="1"/>
  <c r="S10" i="36"/>
  <c r="T10" i="36" s="1"/>
  <c r="R10" i="36" s="1"/>
  <c r="F24" i="36"/>
  <c r="P12" i="37"/>
  <c r="Q12" i="37" s="1"/>
  <c r="Q19" i="31"/>
  <c r="K12" i="37"/>
  <c r="M21" i="28" s="1"/>
  <c r="P12" i="36"/>
  <c r="Q12" i="36" s="1"/>
  <c r="P19" i="31"/>
  <c r="K12" i="36"/>
  <c r="L21" i="28" s="1"/>
  <c r="G13" i="11"/>
  <c r="AA9" i="37"/>
  <c r="AB9" i="37" s="1"/>
  <c r="R9" i="37"/>
  <c r="C17" i="19"/>
  <c r="H17" i="19"/>
  <c r="V17" i="19"/>
  <c r="H24" i="37"/>
  <c r="H24" i="36"/>
  <c r="Z12" i="36"/>
  <c r="W12" i="36"/>
  <c r="X13" i="36" s="1"/>
  <c r="Y13" i="36" s="1"/>
  <c r="G13" i="36"/>
  <c r="X9" i="37"/>
  <c r="Y9" i="37" s="1"/>
  <c r="AD9" i="36"/>
  <c r="AC10" i="36"/>
  <c r="G13" i="37"/>
  <c r="E25" i="36"/>
  <c r="D24" i="37"/>
  <c r="Z6" i="19"/>
  <c r="G13" i="30" s="1"/>
  <c r="F24" i="37"/>
  <c r="AE25" i="37"/>
  <c r="AF25" i="37" s="1"/>
  <c r="O25" i="37"/>
  <c r="B25" i="37"/>
  <c r="M25" i="37"/>
  <c r="N25" i="37" s="1"/>
  <c r="L25" i="37"/>
  <c r="A26" i="37"/>
  <c r="C26" i="37" s="1"/>
  <c r="V25" i="37"/>
  <c r="A27" i="36"/>
  <c r="C27" i="36" s="1"/>
  <c r="M26" i="36"/>
  <c r="N26" i="36" s="1"/>
  <c r="L26" i="36"/>
  <c r="D26" i="36"/>
  <c r="AE26" i="36"/>
  <c r="AF26" i="36" s="1"/>
  <c r="O26" i="36"/>
  <c r="B26" i="36"/>
  <c r="V26" i="36"/>
  <c r="C23" i="30"/>
  <c r="C24" i="25"/>
  <c r="H15" i="33"/>
  <c r="C23" i="31"/>
  <c r="C25" i="28"/>
  <c r="A18" i="11"/>
  <c r="M17" i="11"/>
  <c r="B17" i="11"/>
  <c r="H17" i="11"/>
  <c r="AE17" i="11"/>
  <c r="AF17" i="11" s="1"/>
  <c r="F25" i="25" s="1"/>
  <c r="V18" i="11"/>
  <c r="D24" i="25"/>
  <c r="D23" i="30"/>
  <c r="D23" i="31"/>
  <c r="D25" i="28"/>
  <c r="I15" i="33"/>
  <c r="J15" i="33"/>
  <c r="L22" i="31"/>
  <c r="E24" i="25"/>
  <c r="E25" i="28"/>
  <c r="E23" i="31"/>
  <c r="E23" i="30"/>
  <c r="A18" i="19"/>
  <c r="J18" i="19" s="1"/>
  <c r="B17" i="19"/>
  <c r="M17" i="19"/>
  <c r="N17" i="19" s="1"/>
  <c r="AE17" i="19"/>
  <c r="AF17" i="19" s="1"/>
  <c r="G25" i="25" s="1"/>
  <c r="M22" i="31"/>
  <c r="L14" i="19"/>
  <c r="G22" i="28"/>
  <c r="E12" i="19"/>
  <c r="E15" i="19"/>
  <c r="N8" i="19"/>
  <c r="E8" i="19"/>
  <c r="E13" i="19"/>
  <c r="N6" i="19"/>
  <c r="N7" i="19"/>
  <c r="E11" i="19"/>
  <c r="E16" i="19"/>
  <c r="E14" i="19"/>
  <c r="E9" i="19"/>
  <c r="N15" i="19"/>
  <c r="E6" i="19"/>
  <c r="E7" i="19"/>
  <c r="N13" i="19"/>
  <c r="N14" i="19"/>
  <c r="E10" i="19"/>
  <c r="N16" i="19"/>
  <c r="N10" i="19"/>
  <c r="N11" i="19"/>
  <c r="N9" i="19"/>
  <c r="N12" i="19"/>
  <c r="L9" i="11"/>
  <c r="F17" i="28"/>
  <c r="AC6" i="19"/>
  <c r="G6" i="19"/>
  <c r="C116" i="17"/>
  <c r="W6" i="19"/>
  <c r="J27" i="36" l="1"/>
  <c r="J26" i="37"/>
  <c r="I27" i="36"/>
  <c r="J18" i="11"/>
  <c r="C18" i="11"/>
  <c r="I26" i="37"/>
  <c r="F25" i="36"/>
  <c r="AA10" i="36"/>
  <c r="AB10" i="36" s="1"/>
  <c r="U10" i="36"/>
  <c r="J17" i="30" s="1"/>
  <c r="P13" i="37"/>
  <c r="Q13" i="37" s="1"/>
  <c r="Q20" i="31"/>
  <c r="K13" i="37"/>
  <c r="M22" i="28" s="1"/>
  <c r="K13" i="36"/>
  <c r="L22" i="28" s="1"/>
  <c r="K6" i="19"/>
  <c r="P6" i="19"/>
  <c r="Q6" i="19" s="1"/>
  <c r="O13" i="31"/>
  <c r="P13" i="36"/>
  <c r="Q13" i="36" s="1"/>
  <c r="P20" i="31"/>
  <c r="G14" i="11"/>
  <c r="V18" i="19"/>
  <c r="C18" i="19"/>
  <c r="E18" i="19" s="1"/>
  <c r="H18" i="19"/>
  <c r="D25" i="37"/>
  <c r="D26" i="37" s="1"/>
  <c r="H25" i="37"/>
  <c r="H26" i="37" s="1"/>
  <c r="H25" i="36"/>
  <c r="Z13" i="36"/>
  <c r="S11" i="36"/>
  <c r="T11" i="36" s="1"/>
  <c r="R11" i="36" s="1"/>
  <c r="J17" i="31"/>
  <c r="AC9" i="37"/>
  <c r="Z9" i="37"/>
  <c r="AD10" i="36"/>
  <c r="AC11" i="36"/>
  <c r="K16" i="30"/>
  <c r="G14" i="36"/>
  <c r="G14" i="37"/>
  <c r="K16" i="31"/>
  <c r="S10" i="37"/>
  <c r="T10" i="37" s="1"/>
  <c r="U10" i="37" s="1"/>
  <c r="W9" i="37"/>
  <c r="W13" i="36"/>
  <c r="E26" i="36"/>
  <c r="F26" i="36" s="1"/>
  <c r="E25" i="37"/>
  <c r="F25" i="37" s="1"/>
  <c r="K15" i="28"/>
  <c r="L26" i="37"/>
  <c r="AE26" i="37"/>
  <c r="AF26" i="37" s="1"/>
  <c r="O26" i="37"/>
  <c r="A27" i="37"/>
  <c r="C27" i="37" s="1"/>
  <c r="B26" i="37"/>
  <c r="V26" i="37"/>
  <c r="E26" i="37"/>
  <c r="M26" i="37"/>
  <c r="N26" i="37" s="1"/>
  <c r="V27" i="36"/>
  <c r="A28" i="36"/>
  <c r="C28" i="36" s="1"/>
  <c r="M27" i="36"/>
  <c r="N27" i="36" s="1"/>
  <c r="L27" i="36"/>
  <c r="D27" i="36"/>
  <c r="B27" i="36"/>
  <c r="AE27" i="36"/>
  <c r="AF27" i="36" s="1"/>
  <c r="O27" i="36"/>
  <c r="A19" i="11"/>
  <c r="M18" i="11"/>
  <c r="B18" i="11"/>
  <c r="AE18" i="11"/>
  <c r="AF18" i="11" s="1"/>
  <c r="F26" i="25" s="1"/>
  <c r="H18" i="11"/>
  <c r="C24" i="31"/>
  <c r="C25" i="25"/>
  <c r="C26" i="28"/>
  <c r="C24" i="30"/>
  <c r="H16" i="33"/>
  <c r="D26" i="28"/>
  <c r="D25" i="25"/>
  <c r="D24" i="31"/>
  <c r="D24" i="30"/>
  <c r="I16" i="33"/>
  <c r="J16" i="33"/>
  <c r="L23" i="31"/>
  <c r="M23" i="31"/>
  <c r="A19" i="19"/>
  <c r="J19" i="19" s="1"/>
  <c r="B18" i="19"/>
  <c r="M18" i="19"/>
  <c r="N18" i="19" s="1"/>
  <c r="AE18" i="19"/>
  <c r="AF18" i="19" s="1"/>
  <c r="G26" i="25" s="1"/>
  <c r="E17" i="19"/>
  <c r="I18" i="19"/>
  <c r="E24" i="30"/>
  <c r="E25" i="25"/>
  <c r="E24" i="31"/>
  <c r="E26" i="28"/>
  <c r="L15" i="19"/>
  <c r="G23" i="28"/>
  <c r="G7" i="19"/>
  <c r="L10" i="11"/>
  <c r="F18" i="28"/>
  <c r="G13" i="31"/>
  <c r="X7" i="19"/>
  <c r="Y7" i="19" s="1"/>
  <c r="Z7" i="19" s="1"/>
  <c r="G14" i="30" s="1"/>
  <c r="AD6" i="19"/>
  <c r="L5" i="33" s="1"/>
  <c r="O6" i="19"/>
  <c r="O7" i="19" s="1"/>
  <c r="O8" i="19" s="1"/>
  <c r="O9" i="19" s="1"/>
  <c r="O10" i="19" s="1"/>
  <c r="O11" i="19" s="1"/>
  <c r="O12" i="19" s="1"/>
  <c r="O13" i="19" s="1"/>
  <c r="O14" i="19" s="1"/>
  <c r="O15" i="19" s="1"/>
  <c r="O16" i="19" s="1"/>
  <c r="O17" i="19" s="1"/>
  <c r="O18" i="19" s="1"/>
  <c r="O19" i="19" s="1"/>
  <c r="H27" i="37" l="1"/>
  <c r="J19" i="11"/>
  <c r="C19" i="11"/>
  <c r="I28" i="36"/>
  <c r="I19" i="19"/>
  <c r="I27" i="37"/>
  <c r="J27" i="37"/>
  <c r="J28" i="36"/>
  <c r="K14" i="37"/>
  <c r="M23" i="28" s="1"/>
  <c r="K14" i="36"/>
  <c r="L23" i="28" s="1"/>
  <c r="P7" i="19"/>
  <c r="O14" i="31"/>
  <c r="P14" i="36"/>
  <c r="Q14" i="36" s="1"/>
  <c r="P21" i="31"/>
  <c r="P14" i="37"/>
  <c r="Q14" i="37" s="1"/>
  <c r="Q21" i="31"/>
  <c r="G15" i="11"/>
  <c r="K7" i="19"/>
  <c r="K16" i="28" s="1"/>
  <c r="R10" i="37"/>
  <c r="U11" i="36"/>
  <c r="J18" i="30" s="1"/>
  <c r="C19" i="19"/>
  <c r="E19" i="19" s="1"/>
  <c r="H19" i="19"/>
  <c r="F26" i="37"/>
  <c r="H26" i="36"/>
  <c r="AA11" i="36"/>
  <c r="AB11" i="36" s="1"/>
  <c r="AA10" i="37"/>
  <c r="AC12" i="36"/>
  <c r="AD11" i="36"/>
  <c r="G15" i="36"/>
  <c r="AD9" i="37"/>
  <c r="X14" i="36"/>
  <c r="Y14" i="36" s="1"/>
  <c r="Z14" i="36" s="1"/>
  <c r="X10" i="37"/>
  <c r="Y10" i="37" s="1"/>
  <c r="Z10" i="37" s="1"/>
  <c r="G15" i="37"/>
  <c r="J18" i="31"/>
  <c r="S12" i="36"/>
  <c r="T12" i="36" s="1"/>
  <c r="R12" i="36" s="1"/>
  <c r="E27" i="36"/>
  <c r="F27" i="36" s="1"/>
  <c r="A28" i="37"/>
  <c r="C28" i="37" s="1"/>
  <c r="M27" i="37"/>
  <c r="N27" i="37" s="1"/>
  <c r="V27" i="37"/>
  <c r="AE27" i="37"/>
  <c r="AF27" i="37" s="1"/>
  <c r="O27" i="37"/>
  <c r="D27" i="37"/>
  <c r="B27" i="37"/>
  <c r="L27" i="37"/>
  <c r="O28" i="36"/>
  <c r="B28" i="36"/>
  <c r="AE28" i="36"/>
  <c r="AF28" i="36" s="1"/>
  <c r="V28" i="36"/>
  <c r="M28" i="36"/>
  <c r="N28" i="36" s="1"/>
  <c r="D28" i="36"/>
  <c r="A29" i="36"/>
  <c r="C29" i="36" s="1"/>
  <c r="L28" i="36"/>
  <c r="C25" i="31"/>
  <c r="C26" i="25"/>
  <c r="C27" i="28"/>
  <c r="C25" i="30"/>
  <c r="H17" i="33"/>
  <c r="A20" i="11"/>
  <c r="B19" i="11"/>
  <c r="M19" i="11"/>
  <c r="AE19" i="11"/>
  <c r="AF19" i="11" s="1"/>
  <c r="F27" i="25" s="1"/>
  <c r="H19" i="11"/>
  <c r="V19" i="11"/>
  <c r="V20" i="11" s="1"/>
  <c r="D25" i="31"/>
  <c r="D27" i="28"/>
  <c r="D25" i="30"/>
  <c r="D26" i="25"/>
  <c r="I17" i="33"/>
  <c r="J17" i="33"/>
  <c r="L24" i="31"/>
  <c r="W7" i="19"/>
  <c r="X8" i="19" s="1"/>
  <c r="M24" i="31"/>
  <c r="E27" i="28"/>
  <c r="E25" i="31"/>
  <c r="E25" i="30"/>
  <c r="E26" i="25"/>
  <c r="A20" i="19"/>
  <c r="J20" i="19" s="1"/>
  <c r="M19" i="19"/>
  <c r="N19" i="19" s="1"/>
  <c r="B19" i="19"/>
  <c r="AE19" i="19"/>
  <c r="AF19" i="19" s="1"/>
  <c r="G27" i="25" s="1"/>
  <c r="V19" i="19"/>
  <c r="L16" i="19"/>
  <c r="G24" i="28"/>
  <c r="L11" i="11"/>
  <c r="F19" i="28"/>
  <c r="G8" i="19"/>
  <c r="D7" i="19"/>
  <c r="I15" i="28"/>
  <c r="AC7" i="19"/>
  <c r="AD7" i="19" s="1"/>
  <c r="L6" i="33" s="1"/>
  <c r="F6" i="19"/>
  <c r="F7" i="19" s="1"/>
  <c r="F8" i="19" s="1"/>
  <c r="F9" i="19" s="1"/>
  <c r="F10" i="19" s="1"/>
  <c r="F11" i="19" s="1"/>
  <c r="F12" i="19" s="1"/>
  <c r="F13" i="19" s="1"/>
  <c r="F14" i="19" s="1"/>
  <c r="F15" i="19" s="1"/>
  <c r="F16" i="19" s="1"/>
  <c r="F17" i="19" s="1"/>
  <c r="F18" i="19" s="1"/>
  <c r="I6" i="11"/>
  <c r="J29" i="36" l="1"/>
  <c r="I29" i="36"/>
  <c r="J28" i="37"/>
  <c r="J20" i="11"/>
  <c r="C20" i="11"/>
  <c r="I28" i="37"/>
  <c r="H28" i="37"/>
  <c r="K6" i="11"/>
  <c r="J15" i="28" s="1"/>
  <c r="N13" i="31"/>
  <c r="R6" i="11"/>
  <c r="P8" i="19"/>
  <c r="O15" i="31"/>
  <c r="M25" i="31"/>
  <c r="K8" i="19"/>
  <c r="P15" i="37"/>
  <c r="Q15" i="37" s="1"/>
  <c r="Q22" i="31"/>
  <c r="G16" i="11"/>
  <c r="K15" i="37"/>
  <c r="M24" i="28" s="1"/>
  <c r="P15" i="36"/>
  <c r="Q15" i="36" s="1"/>
  <c r="P22" i="31"/>
  <c r="K15" i="36"/>
  <c r="L24" i="28" s="1"/>
  <c r="U12" i="36"/>
  <c r="I20" i="19"/>
  <c r="C20" i="19"/>
  <c r="E20" i="19" s="1"/>
  <c r="H20" i="19"/>
  <c r="E27" i="37"/>
  <c r="F27" i="37" s="1"/>
  <c r="H27" i="36"/>
  <c r="W10" i="37"/>
  <c r="X11" i="37" s="1"/>
  <c r="Y11" i="37" s="1"/>
  <c r="Z11" i="37" s="1"/>
  <c r="K17" i="30"/>
  <c r="AB10" i="37"/>
  <c r="G16" i="37"/>
  <c r="AA12" i="36"/>
  <c r="W14" i="36"/>
  <c r="X15" i="36" s="1"/>
  <c r="Y15" i="36" s="1"/>
  <c r="W15" i="36" s="1"/>
  <c r="X16" i="36" s="1"/>
  <c r="Y16" i="36" s="1"/>
  <c r="W16" i="36" s="1"/>
  <c r="X17" i="36" s="1"/>
  <c r="Y17" i="36" s="1"/>
  <c r="W17" i="36" s="1"/>
  <c r="X18" i="36" s="1"/>
  <c r="Y18" i="36" s="1"/>
  <c r="W18" i="36" s="1"/>
  <c r="AD12" i="36"/>
  <c r="AC13" i="36"/>
  <c r="K17" i="31"/>
  <c r="S11" i="37"/>
  <c r="T11" i="37" s="1"/>
  <c r="J19" i="31"/>
  <c r="S13" i="36"/>
  <c r="T13" i="36" s="1"/>
  <c r="R13" i="36" s="1"/>
  <c r="G16" i="36"/>
  <c r="AC10" i="37"/>
  <c r="V28" i="37"/>
  <c r="A29" i="37"/>
  <c r="C29" i="37" s="1"/>
  <c r="L28" i="37"/>
  <c r="D28" i="37"/>
  <c r="M28" i="37"/>
  <c r="N28" i="37" s="1"/>
  <c r="E28" i="37"/>
  <c r="B28" i="37"/>
  <c r="AE28" i="37"/>
  <c r="AF28" i="37" s="1"/>
  <c r="O28" i="37"/>
  <c r="AE29" i="36"/>
  <c r="AF29" i="36" s="1"/>
  <c r="O29" i="36"/>
  <c r="B29" i="36"/>
  <c r="A30" i="36"/>
  <c r="C30" i="36" s="1"/>
  <c r="M29" i="36"/>
  <c r="N29" i="36" s="1"/>
  <c r="V29" i="36"/>
  <c r="L29" i="36"/>
  <c r="D29" i="36"/>
  <c r="E28" i="36"/>
  <c r="F28" i="36" s="1"/>
  <c r="C26" i="30"/>
  <c r="C27" i="25"/>
  <c r="H18" i="33"/>
  <c r="C26" i="31"/>
  <c r="C28" i="28"/>
  <c r="A21" i="11"/>
  <c r="B20" i="11"/>
  <c r="M20" i="11"/>
  <c r="AE20" i="11"/>
  <c r="AF20" i="11" s="1"/>
  <c r="F28" i="25" s="1"/>
  <c r="H20" i="11"/>
  <c r="AA6" i="11"/>
  <c r="AB6" i="11" s="1"/>
  <c r="M5" i="33" s="1"/>
  <c r="D26" i="30"/>
  <c r="D26" i="31"/>
  <c r="D27" i="25"/>
  <c r="D28" i="28"/>
  <c r="I18" i="33"/>
  <c r="J18" i="33"/>
  <c r="L25" i="31"/>
  <c r="F19" i="19"/>
  <c r="A21" i="19"/>
  <c r="J21" i="19" s="1"/>
  <c r="M20" i="19"/>
  <c r="N20" i="19" s="1"/>
  <c r="B20" i="19"/>
  <c r="AE20" i="19"/>
  <c r="AF20" i="19" s="1"/>
  <c r="G28" i="25" s="1"/>
  <c r="E27" i="25"/>
  <c r="E26" i="31"/>
  <c r="E28" i="28"/>
  <c r="E26" i="30"/>
  <c r="V20" i="19"/>
  <c r="V21" i="19" s="1"/>
  <c r="O20" i="19"/>
  <c r="I7" i="11"/>
  <c r="G9" i="19"/>
  <c r="L17" i="19"/>
  <c r="G25" i="28"/>
  <c r="Q7" i="19"/>
  <c r="L12" i="11"/>
  <c r="F20" i="28"/>
  <c r="G14" i="31"/>
  <c r="D8" i="19"/>
  <c r="I16" i="28"/>
  <c r="P2" i="11"/>
  <c r="P6" i="11" s="1"/>
  <c r="H29" i="37" l="1"/>
  <c r="J29" i="37"/>
  <c r="I29" i="37"/>
  <c r="I30" i="36"/>
  <c r="J21" i="11"/>
  <c r="C21" i="11"/>
  <c r="J30" i="36"/>
  <c r="R11" i="37"/>
  <c r="S12" i="37" s="1"/>
  <c r="T12" i="37" s="1"/>
  <c r="R12" i="37" s="1"/>
  <c r="U11" i="37"/>
  <c r="K18" i="30" s="1"/>
  <c r="K9" i="19"/>
  <c r="K18" i="28" s="1"/>
  <c r="K17" i="28"/>
  <c r="P16" i="37"/>
  <c r="Q16" i="37" s="1"/>
  <c r="Q23" i="31"/>
  <c r="P16" i="36"/>
  <c r="Q16" i="36" s="1"/>
  <c r="P23" i="31"/>
  <c r="K16" i="37"/>
  <c r="M25" i="28" s="1"/>
  <c r="P9" i="19"/>
  <c r="O16" i="31"/>
  <c r="N14" i="31"/>
  <c r="P7" i="11"/>
  <c r="K16" i="36"/>
  <c r="L25" i="28" s="1"/>
  <c r="G17" i="11"/>
  <c r="K7" i="11"/>
  <c r="U6" i="11"/>
  <c r="H13" i="30" s="1"/>
  <c r="U13" i="36"/>
  <c r="C21" i="19"/>
  <c r="E21" i="19" s="1"/>
  <c r="H21" i="19"/>
  <c r="F28" i="37"/>
  <c r="H28" i="36"/>
  <c r="Z15" i="36"/>
  <c r="Z16" i="36" s="1"/>
  <c r="Z17" i="36" s="1"/>
  <c r="Z18" i="36" s="1"/>
  <c r="J19" i="30"/>
  <c r="J20" i="31"/>
  <c r="S14" i="36"/>
  <c r="T14" i="36" s="1"/>
  <c r="R14" i="36" s="1"/>
  <c r="AA13" i="36"/>
  <c r="AB12" i="36"/>
  <c r="AA11" i="37"/>
  <c r="AD10" i="37"/>
  <c r="AC11" i="37"/>
  <c r="AD13" i="36"/>
  <c r="AC14" i="36"/>
  <c r="X19" i="36"/>
  <c r="Y19" i="36" s="1"/>
  <c r="G17" i="36"/>
  <c r="W11" i="37"/>
  <c r="X12" i="37" s="1"/>
  <c r="Y12" i="37" s="1"/>
  <c r="W12" i="37" s="1"/>
  <c r="G17" i="37"/>
  <c r="AE29" i="37"/>
  <c r="AF29" i="37" s="1"/>
  <c r="O29" i="37"/>
  <c r="B29" i="37"/>
  <c r="M29" i="37"/>
  <c r="A30" i="37"/>
  <c r="C30" i="37" s="1"/>
  <c r="V29" i="37"/>
  <c r="L29" i="37"/>
  <c r="N29" i="37"/>
  <c r="D29" i="37"/>
  <c r="E29" i="37"/>
  <c r="E29" i="36"/>
  <c r="F29" i="36" s="1"/>
  <c r="L30" i="36"/>
  <c r="D30" i="36"/>
  <c r="AE30" i="36"/>
  <c r="AF30" i="36" s="1"/>
  <c r="O30" i="36"/>
  <c r="B30" i="36"/>
  <c r="V30" i="36"/>
  <c r="A31" i="36"/>
  <c r="C31" i="36" s="1"/>
  <c r="M30" i="36"/>
  <c r="N30" i="36" s="1"/>
  <c r="A22" i="11"/>
  <c r="B21" i="11"/>
  <c r="M21" i="11"/>
  <c r="N21" i="11" s="1"/>
  <c r="AE21" i="11"/>
  <c r="AF21" i="11" s="1"/>
  <c r="F29" i="25" s="1"/>
  <c r="H21" i="11"/>
  <c r="C27" i="30"/>
  <c r="C27" i="31"/>
  <c r="C28" i="25"/>
  <c r="C29" i="28"/>
  <c r="H19" i="33"/>
  <c r="V21" i="11"/>
  <c r="V22" i="11" s="1"/>
  <c r="D28" i="25"/>
  <c r="D27" i="30"/>
  <c r="D29" i="28"/>
  <c r="D27" i="31"/>
  <c r="I19" i="33"/>
  <c r="J19" i="33"/>
  <c r="L26" i="31"/>
  <c r="A22" i="19"/>
  <c r="J22" i="19" s="1"/>
  <c r="M21" i="19"/>
  <c r="N21" i="19" s="1"/>
  <c r="B21" i="19"/>
  <c r="AE21" i="19"/>
  <c r="AF21" i="19" s="1"/>
  <c r="G29" i="25" s="1"/>
  <c r="M26" i="31"/>
  <c r="E27" i="30"/>
  <c r="E28" i="25"/>
  <c r="E27" i="31"/>
  <c r="E29" i="28"/>
  <c r="F20" i="19"/>
  <c r="O21" i="19"/>
  <c r="I21" i="19"/>
  <c r="Q8" i="19"/>
  <c r="L13" i="11"/>
  <c r="F21" i="28"/>
  <c r="G10" i="19"/>
  <c r="N9" i="11"/>
  <c r="N16" i="11"/>
  <c r="N14" i="11"/>
  <c r="E7" i="11"/>
  <c r="N7" i="11"/>
  <c r="E13" i="11"/>
  <c r="E18" i="11"/>
  <c r="E17" i="11"/>
  <c r="E14" i="11"/>
  <c r="E12" i="11"/>
  <c r="N20" i="11"/>
  <c r="E9" i="11"/>
  <c r="E20" i="11"/>
  <c r="N10" i="11"/>
  <c r="E16" i="11"/>
  <c r="N6" i="11"/>
  <c r="N12" i="11"/>
  <c r="N19" i="11"/>
  <c r="E6" i="11"/>
  <c r="N17" i="11"/>
  <c r="E8" i="11"/>
  <c r="N8" i="11"/>
  <c r="E15" i="11"/>
  <c r="N15" i="11"/>
  <c r="E10" i="11"/>
  <c r="N13" i="11"/>
  <c r="N18" i="11"/>
  <c r="E11" i="11"/>
  <c r="N11" i="11"/>
  <c r="E19" i="11"/>
  <c r="L18" i="19"/>
  <c r="G26" i="28"/>
  <c r="I8" i="11"/>
  <c r="D9" i="19"/>
  <c r="I17" i="28"/>
  <c r="H13" i="31"/>
  <c r="S7" i="11"/>
  <c r="Y8" i="19"/>
  <c r="K18" i="31" l="1"/>
  <c r="I22" i="19"/>
  <c r="I31" i="36"/>
  <c r="J31" i="36"/>
  <c r="I30" i="37"/>
  <c r="J30" i="37"/>
  <c r="O22" i="19"/>
  <c r="J22" i="11"/>
  <c r="C22" i="11"/>
  <c r="H30" i="37"/>
  <c r="U12" i="37"/>
  <c r="K19" i="30" s="1"/>
  <c r="K17" i="36"/>
  <c r="L26" i="28" s="1"/>
  <c r="K8" i="11"/>
  <c r="J17" i="28" s="1"/>
  <c r="P10" i="19"/>
  <c r="O17" i="31"/>
  <c r="J16" i="28"/>
  <c r="G18" i="11"/>
  <c r="K17" i="37"/>
  <c r="M26" i="28" s="1"/>
  <c r="P17" i="37"/>
  <c r="Q17" i="37" s="1"/>
  <c r="Q24" i="31"/>
  <c r="N15" i="31"/>
  <c r="P8" i="11"/>
  <c r="P17" i="36"/>
  <c r="Q17" i="36" s="1"/>
  <c r="P24" i="31"/>
  <c r="K10" i="19"/>
  <c r="K19" i="28" s="1"/>
  <c r="U14" i="36"/>
  <c r="C22" i="19"/>
  <c r="E22" i="19" s="1"/>
  <c r="H22" i="19"/>
  <c r="F29" i="37"/>
  <c r="H29" i="36"/>
  <c r="Z19" i="36"/>
  <c r="W19" i="36"/>
  <c r="X20" i="36" s="1"/>
  <c r="Y20" i="36" s="1"/>
  <c r="Z12" i="37"/>
  <c r="G18" i="36"/>
  <c r="AD11" i="37"/>
  <c r="AC12" i="37"/>
  <c r="K19" i="31"/>
  <c r="S13" i="37"/>
  <c r="T13" i="37" s="1"/>
  <c r="R13" i="37" s="1"/>
  <c r="G18" i="37"/>
  <c r="AB13" i="36"/>
  <c r="AA14" i="36"/>
  <c r="X13" i="37"/>
  <c r="Y13" i="37" s="1"/>
  <c r="AD14" i="36"/>
  <c r="AC15" i="36"/>
  <c r="AB11" i="37"/>
  <c r="AA12" i="37"/>
  <c r="J21" i="31"/>
  <c r="S15" i="36"/>
  <c r="T15" i="36" s="1"/>
  <c r="R15" i="36" s="1"/>
  <c r="J20" i="30"/>
  <c r="E21" i="11"/>
  <c r="E30" i="36"/>
  <c r="F30" i="36" s="1"/>
  <c r="L30" i="37"/>
  <c r="D30" i="37"/>
  <c r="B30" i="37"/>
  <c r="M30" i="37"/>
  <c r="N30" i="37" s="1"/>
  <c r="AE30" i="37"/>
  <c r="AF30" i="37" s="1"/>
  <c r="V30" i="37"/>
  <c r="E30" i="37"/>
  <c r="A31" i="37"/>
  <c r="C31" i="37" s="1"/>
  <c r="O30" i="37"/>
  <c r="A32" i="36"/>
  <c r="C32" i="36" s="1"/>
  <c r="M31" i="36"/>
  <c r="D31" i="36"/>
  <c r="L31" i="36"/>
  <c r="AE31" i="36"/>
  <c r="AF31" i="36" s="1"/>
  <c r="O31" i="36"/>
  <c r="B31" i="36"/>
  <c r="E31" i="36" s="1"/>
  <c r="F31" i="36" s="1"/>
  <c r="V31" i="36"/>
  <c r="N31" i="36"/>
  <c r="C28" i="31"/>
  <c r="H20" i="33"/>
  <c r="C30" i="28"/>
  <c r="C28" i="30"/>
  <c r="C29" i="25"/>
  <c r="A23" i="11"/>
  <c r="M22" i="11"/>
  <c r="N22" i="11" s="1"/>
  <c r="B22" i="11"/>
  <c r="AE22" i="11"/>
  <c r="AF22" i="11" s="1"/>
  <c r="F30" i="25" s="1"/>
  <c r="H22" i="11"/>
  <c r="D30" i="28"/>
  <c r="D29" i="25"/>
  <c r="D28" i="30"/>
  <c r="D28" i="31"/>
  <c r="I20" i="33"/>
  <c r="J20" i="33"/>
  <c r="L27" i="31"/>
  <c r="M27" i="31"/>
  <c r="E28" i="31"/>
  <c r="E28" i="30"/>
  <c r="E30" i="28"/>
  <c r="E29" i="25"/>
  <c r="F21" i="19"/>
  <c r="A23" i="19"/>
  <c r="J23" i="19" s="1"/>
  <c r="B22" i="19"/>
  <c r="M22" i="19"/>
  <c r="N22" i="19" s="1"/>
  <c r="AE22" i="19"/>
  <c r="AF22" i="19" s="1"/>
  <c r="G30" i="25" s="1"/>
  <c r="O23" i="19"/>
  <c r="V22" i="19"/>
  <c r="Q9" i="19"/>
  <c r="L19" i="19"/>
  <c r="G27" i="28"/>
  <c r="L14" i="11"/>
  <c r="F22" i="28"/>
  <c r="G11" i="19"/>
  <c r="I9" i="11"/>
  <c r="Z8" i="19"/>
  <c r="G15" i="30" s="1"/>
  <c r="W8" i="19"/>
  <c r="D10" i="19"/>
  <c r="I18" i="28"/>
  <c r="AC8" i="19"/>
  <c r="AD8" i="19" s="1"/>
  <c r="O6" i="11"/>
  <c r="O7" i="11" s="1"/>
  <c r="O8" i="11" s="1"/>
  <c r="O9" i="11" s="1"/>
  <c r="O10" i="11" s="1"/>
  <c r="O11" i="11" s="1"/>
  <c r="O12" i="11" s="1"/>
  <c r="O13" i="11" s="1"/>
  <c r="O14" i="11" s="1"/>
  <c r="O15" i="11" s="1"/>
  <c r="O16" i="11" s="1"/>
  <c r="O17" i="11" s="1"/>
  <c r="O18" i="11" s="1"/>
  <c r="O19" i="11" s="1"/>
  <c r="O20" i="11" s="1"/>
  <c r="O21" i="11" s="1"/>
  <c r="O22" i="11" s="1"/>
  <c r="O23" i="11" s="1"/>
  <c r="H31" i="37" l="1"/>
  <c r="J31" i="37"/>
  <c r="I31" i="37"/>
  <c r="J32" i="36"/>
  <c r="J23" i="11"/>
  <c r="C23" i="11"/>
  <c r="I32" i="36"/>
  <c r="U13" i="37"/>
  <c r="K20" i="30" s="1"/>
  <c r="K18" i="36"/>
  <c r="K11" i="19"/>
  <c r="K20" i="28" s="1"/>
  <c r="N16" i="31"/>
  <c r="P9" i="11"/>
  <c r="K9" i="11"/>
  <c r="J18" i="28" s="1"/>
  <c r="K18" i="37"/>
  <c r="M27" i="28" s="1"/>
  <c r="P11" i="19"/>
  <c r="O18" i="31"/>
  <c r="P18" i="36"/>
  <c r="Q18" i="36" s="1"/>
  <c r="P25" i="31"/>
  <c r="G19" i="11"/>
  <c r="M28" i="31"/>
  <c r="P18" i="37"/>
  <c r="Q18" i="37" s="1"/>
  <c r="Q25" i="31"/>
  <c r="U15" i="36"/>
  <c r="C23" i="19"/>
  <c r="E23" i="19" s="1"/>
  <c r="H23" i="19"/>
  <c r="I23" i="19"/>
  <c r="V23" i="19"/>
  <c r="Z13" i="37"/>
  <c r="F30" i="37"/>
  <c r="H30" i="36"/>
  <c r="H31" i="36" s="1"/>
  <c r="H32" i="36" s="1"/>
  <c r="Z20" i="36"/>
  <c r="J21" i="30"/>
  <c r="AB12" i="37"/>
  <c r="AA13" i="37"/>
  <c r="W13" i="37"/>
  <c r="G19" i="37"/>
  <c r="L27" i="28"/>
  <c r="K20" i="31"/>
  <c r="S14" i="37"/>
  <c r="T14" i="37" s="1"/>
  <c r="R14" i="37" s="1"/>
  <c r="G19" i="36"/>
  <c r="J22" i="31"/>
  <c r="S16" i="36"/>
  <c r="T16" i="36" s="1"/>
  <c r="R16" i="36" s="1"/>
  <c r="AD15" i="36"/>
  <c r="AC16" i="36"/>
  <c r="AC13" i="37"/>
  <c r="AD12" i="37"/>
  <c r="W20" i="36"/>
  <c r="AA15" i="36"/>
  <c r="AB14" i="36"/>
  <c r="AE31" i="37"/>
  <c r="AF31" i="37" s="1"/>
  <c r="O31" i="37"/>
  <c r="M31" i="37"/>
  <c r="N31" i="37" s="1"/>
  <c r="V31" i="37"/>
  <c r="D31" i="37"/>
  <c r="B31" i="37"/>
  <c r="E31" i="37"/>
  <c r="L31" i="37"/>
  <c r="A32" i="37"/>
  <c r="C32" i="37" s="1"/>
  <c r="V32" i="36"/>
  <c r="A33" i="36"/>
  <c r="C33" i="36" s="1"/>
  <c r="M32" i="36"/>
  <c r="N32" i="36" s="1"/>
  <c r="L32" i="36"/>
  <c r="D32" i="36"/>
  <c r="B32" i="36"/>
  <c r="E32" i="36" s="1"/>
  <c r="F32" i="36" s="1"/>
  <c r="AE32" i="36"/>
  <c r="AF32" i="36" s="1"/>
  <c r="O32" i="36"/>
  <c r="A24" i="11"/>
  <c r="O24" i="11" s="1"/>
  <c r="B23" i="11"/>
  <c r="M23" i="11"/>
  <c r="N23" i="11" s="1"/>
  <c r="AE23" i="11"/>
  <c r="AF23" i="11" s="1"/>
  <c r="F31" i="25" s="1"/>
  <c r="H23" i="11"/>
  <c r="V23" i="11"/>
  <c r="V24" i="11" s="1"/>
  <c r="C29" i="31"/>
  <c r="C31" i="28"/>
  <c r="H21" i="33"/>
  <c r="C29" i="30"/>
  <c r="C30" i="25"/>
  <c r="E22" i="11"/>
  <c r="D29" i="31"/>
  <c r="D31" i="28"/>
  <c r="D30" i="25"/>
  <c r="D29" i="30"/>
  <c r="Q10" i="19"/>
  <c r="I21" i="33"/>
  <c r="J21" i="33"/>
  <c r="L28" i="31"/>
  <c r="E29" i="30"/>
  <c r="E31" i="28"/>
  <c r="E30" i="25"/>
  <c r="E29" i="31"/>
  <c r="F22" i="19"/>
  <c r="A24" i="19"/>
  <c r="J24" i="19" s="1"/>
  <c r="M23" i="19"/>
  <c r="N23" i="19" s="1"/>
  <c r="B23" i="19"/>
  <c r="AE23" i="19"/>
  <c r="AF23" i="19" s="1"/>
  <c r="G31" i="25" s="1"/>
  <c r="L20" i="19"/>
  <c r="G28" i="28"/>
  <c r="G12" i="19"/>
  <c r="L15" i="11"/>
  <c r="F23" i="28"/>
  <c r="I10" i="11"/>
  <c r="D11" i="19"/>
  <c r="I19" i="28"/>
  <c r="L7" i="33"/>
  <c r="X9" i="19"/>
  <c r="Y9" i="19" s="1"/>
  <c r="W9" i="19" s="1"/>
  <c r="G15" i="31"/>
  <c r="K20" i="1"/>
  <c r="J33" i="36" l="1"/>
  <c r="J24" i="11"/>
  <c r="C24" i="11"/>
  <c r="I33" i="36"/>
  <c r="I32" i="37"/>
  <c r="H33" i="36"/>
  <c r="J32" i="37"/>
  <c r="H32" i="37"/>
  <c r="F31" i="37"/>
  <c r="U14" i="37"/>
  <c r="K21" i="30" s="1"/>
  <c r="P19" i="36"/>
  <c r="Q19" i="36" s="1"/>
  <c r="P26" i="31"/>
  <c r="P12" i="19"/>
  <c r="O19" i="31"/>
  <c r="P19" i="37"/>
  <c r="Q19" i="37" s="1"/>
  <c r="Q26" i="31"/>
  <c r="P10" i="11"/>
  <c r="N17" i="31"/>
  <c r="K19" i="37"/>
  <c r="M28" i="28" s="1"/>
  <c r="K12" i="19"/>
  <c r="K21" i="28" s="1"/>
  <c r="G20" i="11"/>
  <c r="K10" i="11"/>
  <c r="J19" i="28" s="1"/>
  <c r="K19" i="36"/>
  <c r="L28" i="28" s="1"/>
  <c r="U16" i="36"/>
  <c r="C24" i="19"/>
  <c r="E24" i="19" s="1"/>
  <c r="H24" i="19"/>
  <c r="X21" i="36"/>
  <c r="Y21" i="36" s="1"/>
  <c r="Z21" i="36" s="1"/>
  <c r="AD16" i="36"/>
  <c r="AC17" i="36"/>
  <c r="AB13" i="37"/>
  <c r="AA14" i="37"/>
  <c r="G20" i="36"/>
  <c r="AD13" i="37"/>
  <c r="J23" i="31"/>
  <c r="S17" i="36"/>
  <c r="T17" i="36" s="1"/>
  <c r="R17" i="36" s="1"/>
  <c r="G20" i="37"/>
  <c r="J22" i="30"/>
  <c r="AA16" i="36"/>
  <c r="AB15" i="36"/>
  <c r="X14" i="37"/>
  <c r="Y14" i="37" s="1"/>
  <c r="Z14" i="37" s="1"/>
  <c r="Q11" i="19"/>
  <c r="L32" i="37"/>
  <c r="B32" i="37"/>
  <c r="M32" i="37"/>
  <c r="N32" i="37" s="1"/>
  <c r="E32" i="37"/>
  <c r="A33" i="37"/>
  <c r="C33" i="37" s="1"/>
  <c r="D32" i="37"/>
  <c r="V32" i="37"/>
  <c r="AE32" i="37"/>
  <c r="AF32" i="37" s="1"/>
  <c r="O32" i="37"/>
  <c r="AE33" i="36"/>
  <c r="AF33" i="36" s="1"/>
  <c r="O33" i="36"/>
  <c r="B33" i="36"/>
  <c r="V33" i="36"/>
  <c r="A34" i="36"/>
  <c r="C34" i="36" s="1"/>
  <c r="M33" i="36"/>
  <c r="N33" i="36" s="1"/>
  <c r="D33" i="36"/>
  <c r="L33" i="36"/>
  <c r="C32" i="28"/>
  <c r="H22" i="33"/>
  <c r="C30" i="30"/>
  <c r="C31" i="25"/>
  <c r="C30" i="31"/>
  <c r="E23" i="11"/>
  <c r="A25" i="11"/>
  <c r="B24" i="11"/>
  <c r="M24" i="11"/>
  <c r="N24" i="11" s="1"/>
  <c r="AE24" i="11"/>
  <c r="AF24" i="11" s="1"/>
  <c r="F32" i="25" s="1"/>
  <c r="H24" i="11"/>
  <c r="D30" i="30"/>
  <c r="D30" i="31"/>
  <c r="D32" i="28"/>
  <c r="D31" i="25"/>
  <c r="I22" i="33"/>
  <c r="J22" i="33"/>
  <c r="L29" i="31"/>
  <c r="M29" i="31"/>
  <c r="A25" i="19"/>
  <c r="J25" i="19" s="1"/>
  <c r="M24" i="19"/>
  <c r="N24" i="19" s="1"/>
  <c r="B24" i="19"/>
  <c r="AE24" i="19"/>
  <c r="AF24" i="19" s="1"/>
  <c r="G32" i="25" s="1"/>
  <c r="F23" i="19"/>
  <c r="I24" i="19"/>
  <c r="I25" i="19" s="1"/>
  <c r="E31" i="25"/>
  <c r="E32" i="28"/>
  <c r="E30" i="31"/>
  <c r="E30" i="30"/>
  <c r="V24" i="19"/>
  <c r="V25" i="19" s="1"/>
  <c r="O24" i="19"/>
  <c r="O25" i="19" s="1"/>
  <c r="G13" i="19"/>
  <c r="I11" i="11"/>
  <c r="L16" i="11"/>
  <c r="F24" i="28"/>
  <c r="L21" i="19"/>
  <c r="G29" i="28"/>
  <c r="Z9" i="19"/>
  <c r="D12" i="19"/>
  <c r="I20" i="28"/>
  <c r="AC9" i="19"/>
  <c r="AD9" i="19" s="1"/>
  <c r="H33" i="37" l="1"/>
  <c r="I34" i="36"/>
  <c r="J33" i="37"/>
  <c r="H34" i="36"/>
  <c r="O25" i="11"/>
  <c r="J25" i="11"/>
  <c r="C25" i="11"/>
  <c r="I33" i="37"/>
  <c r="J34" i="36"/>
  <c r="P20" i="37"/>
  <c r="Q20" i="37" s="1"/>
  <c r="Q27" i="31"/>
  <c r="P11" i="11"/>
  <c r="N18" i="31"/>
  <c r="K20" i="36"/>
  <c r="L29" i="28" s="1"/>
  <c r="P13" i="19"/>
  <c r="O20" i="31"/>
  <c r="P20" i="36"/>
  <c r="Q20" i="36" s="1"/>
  <c r="P27" i="31"/>
  <c r="K11" i="11"/>
  <c r="K13" i="19"/>
  <c r="K22" i="28" s="1"/>
  <c r="G21" i="11"/>
  <c r="K20" i="37"/>
  <c r="M29" i="28" s="1"/>
  <c r="U17" i="36"/>
  <c r="C25" i="19"/>
  <c r="E25" i="19" s="1"/>
  <c r="H25" i="19"/>
  <c r="F32" i="37"/>
  <c r="E33" i="36"/>
  <c r="F33" i="36" s="1"/>
  <c r="AC14" i="37"/>
  <c r="AD14" i="37" s="1"/>
  <c r="W14" i="37"/>
  <c r="X15" i="37" s="1"/>
  <c r="Y15" i="37" s="1"/>
  <c r="Z15" i="37" s="1"/>
  <c r="K21" i="31"/>
  <c r="S15" i="37"/>
  <c r="T15" i="37" s="1"/>
  <c r="U15" i="37" s="1"/>
  <c r="AD17" i="36"/>
  <c r="AC18" i="36"/>
  <c r="AA17" i="36"/>
  <c r="AB16" i="36"/>
  <c r="G21" i="37"/>
  <c r="G21" i="36"/>
  <c r="J23" i="30"/>
  <c r="J24" i="31"/>
  <c r="S18" i="36"/>
  <c r="T18" i="36" s="1"/>
  <c r="R18" i="36" s="1"/>
  <c r="AB14" i="37"/>
  <c r="W21" i="36"/>
  <c r="Q12" i="19"/>
  <c r="A34" i="37"/>
  <c r="C34" i="37" s="1"/>
  <c r="M33" i="37"/>
  <c r="N33" i="37" s="1"/>
  <c r="AE33" i="37"/>
  <c r="AF33" i="37" s="1"/>
  <c r="O33" i="37"/>
  <c r="E33" i="37"/>
  <c r="B33" i="37"/>
  <c r="V33" i="37"/>
  <c r="L33" i="37"/>
  <c r="L34" i="36"/>
  <c r="AE34" i="36"/>
  <c r="AF34" i="36" s="1"/>
  <c r="O34" i="36"/>
  <c r="B34" i="36"/>
  <c r="E34" i="36" s="1"/>
  <c r="F34" i="36" s="1"/>
  <c r="V34" i="36"/>
  <c r="D34" i="36"/>
  <c r="A35" i="36"/>
  <c r="C35" i="36" s="1"/>
  <c r="M34" i="36"/>
  <c r="N34" i="36" s="1"/>
  <c r="C31" i="30"/>
  <c r="C32" i="25"/>
  <c r="H23" i="33"/>
  <c r="C33" i="28"/>
  <c r="C31" i="31"/>
  <c r="E24" i="11"/>
  <c r="A26" i="11"/>
  <c r="C26" i="11" s="1"/>
  <c r="B25" i="11"/>
  <c r="M25" i="11"/>
  <c r="N25" i="11" s="1"/>
  <c r="AE25" i="11"/>
  <c r="AF25" i="11" s="1"/>
  <c r="F33" i="25" s="1"/>
  <c r="H25" i="11"/>
  <c r="V25" i="11"/>
  <c r="D32" i="25"/>
  <c r="D31" i="30"/>
  <c r="D31" i="31"/>
  <c r="D33" i="28"/>
  <c r="I23" i="33"/>
  <c r="J23" i="33"/>
  <c r="L30" i="31"/>
  <c r="J20" i="28"/>
  <c r="E32" i="25"/>
  <c r="E31" i="31"/>
  <c r="E31" i="30"/>
  <c r="E33" i="28"/>
  <c r="I26" i="19"/>
  <c r="A26" i="19"/>
  <c r="J26" i="19" s="1"/>
  <c r="B25" i="19"/>
  <c r="M25" i="19"/>
  <c r="N25" i="19" s="1"/>
  <c r="AE25" i="19"/>
  <c r="AF25" i="19" s="1"/>
  <c r="G33" i="25" s="1"/>
  <c r="O26" i="19"/>
  <c r="F24" i="19"/>
  <c r="M30" i="31"/>
  <c r="L22" i="19"/>
  <c r="G30" i="28"/>
  <c r="G14" i="19"/>
  <c r="L17" i="11"/>
  <c r="F25" i="28"/>
  <c r="I12" i="11"/>
  <c r="D13" i="19"/>
  <c r="I21" i="28"/>
  <c r="L8" i="33"/>
  <c r="G16" i="30"/>
  <c r="X10" i="19"/>
  <c r="Y10" i="19" s="1"/>
  <c r="Z10" i="19" s="1"/>
  <c r="G16" i="31"/>
  <c r="Q6" i="11"/>
  <c r="Q7" i="11" s="1"/>
  <c r="Q8" i="11" s="1"/>
  <c r="Q9" i="11" s="1"/>
  <c r="Q10" i="11" s="1"/>
  <c r="I16" i="1"/>
  <c r="I12" i="1"/>
  <c r="I8" i="1"/>
  <c r="I20" i="1" s="1"/>
  <c r="J26" i="11" l="1"/>
  <c r="J34" i="37"/>
  <c r="J35" i="36"/>
  <c r="I35" i="36"/>
  <c r="I34" i="37"/>
  <c r="H35" i="36"/>
  <c r="H34" i="37"/>
  <c r="P14" i="19"/>
  <c r="O21" i="31"/>
  <c r="P21" i="36"/>
  <c r="Q21" i="36" s="1"/>
  <c r="P28" i="31"/>
  <c r="P12" i="11"/>
  <c r="N19" i="31"/>
  <c r="K21" i="37"/>
  <c r="M30" i="28" s="1"/>
  <c r="K14" i="19"/>
  <c r="K23" i="28" s="1"/>
  <c r="M31" i="31"/>
  <c r="P21" i="37"/>
  <c r="Q21" i="37" s="1"/>
  <c r="Q28" i="31"/>
  <c r="G22" i="11"/>
  <c r="K12" i="11"/>
  <c r="K21" i="36"/>
  <c r="L30" i="28" s="1"/>
  <c r="U18" i="36"/>
  <c r="R15" i="37"/>
  <c r="C26" i="19"/>
  <c r="H26" i="19"/>
  <c r="D33" i="37"/>
  <c r="F33" i="37"/>
  <c r="Q13" i="19"/>
  <c r="AC15" i="37"/>
  <c r="AD15" i="37" s="1"/>
  <c r="W15" i="37"/>
  <c r="X16" i="37" s="1"/>
  <c r="Y16" i="37" s="1"/>
  <c r="Z16" i="37" s="1"/>
  <c r="Q11" i="11"/>
  <c r="G22" i="36"/>
  <c r="G22" i="37"/>
  <c r="K22" i="30"/>
  <c r="J24" i="30"/>
  <c r="AD18" i="36"/>
  <c r="AC19" i="36"/>
  <c r="X22" i="36"/>
  <c r="Y22" i="36" s="1"/>
  <c r="Z22" i="36" s="1"/>
  <c r="AA18" i="36"/>
  <c r="AB17" i="36"/>
  <c r="AA15" i="37"/>
  <c r="J25" i="31"/>
  <c r="S19" i="36"/>
  <c r="T19" i="36" s="1"/>
  <c r="R19" i="36" s="1"/>
  <c r="V34" i="37"/>
  <c r="O34" i="37"/>
  <c r="M34" i="37"/>
  <c r="N34" i="37" s="1"/>
  <c r="AE34" i="37"/>
  <c r="AF34" i="37" s="1"/>
  <c r="B34" i="37"/>
  <c r="D34" i="37"/>
  <c r="L34" i="37"/>
  <c r="A35" i="37"/>
  <c r="C35" i="37" s="1"/>
  <c r="A36" i="36"/>
  <c r="C36" i="36" s="1"/>
  <c r="M35" i="36"/>
  <c r="N35" i="36" s="1"/>
  <c r="L35" i="36"/>
  <c r="D35" i="36"/>
  <c r="AE35" i="36"/>
  <c r="AF35" i="36" s="1"/>
  <c r="O35" i="36"/>
  <c r="B35" i="36"/>
  <c r="E35" i="36" s="1"/>
  <c r="F35" i="36" s="1"/>
  <c r="V35" i="36"/>
  <c r="A27" i="11"/>
  <c r="C27" i="11" s="1"/>
  <c r="M26" i="11"/>
  <c r="N26" i="11" s="1"/>
  <c r="B26" i="11"/>
  <c r="AE26" i="11"/>
  <c r="AF26" i="11" s="1"/>
  <c r="F34" i="25" s="1"/>
  <c r="H26" i="11"/>
  <c r="V26" i="11"/>
  <c r="O26" i="11"/>
  <c r="C32" i="31"/>
  <c r="C34" i="28"/>
  <c r="C32" i="30"/>
  <c r="H24" i="33"/>
  <c r="C33" i="25"/>
  <c r="E25" i="11"/>
  <c r="D34" i="28"/>
  <c r="D33" i="25"/>
  <c r="D32" i="31"/>
  <c r="D32" i="30"/>
  <c r="I24" i="33"/>
  <c r="J24" i="33"/>
  <c r="L31" i="31"/>
  <c r="J21" i="28"/>
  <c r="E32" i="31"/>
  <c r="E34" i="28"/>
  <c r="E33" i="25"/>
  <c r="E32" i="30"/>
  <c r="F25" i="19"/>
  <c r="A27" i="19"/>
  <c r="J27" i="19" s="1"/>
  <c r="B26" i="19"/>
  <c r="M26" i="19"/>
  <c r="N26" i="19" s="1"/>
  <c r="AE26" i="19"/>
  <c r="AF26" i="19" s="1"/>
  <c r="G34" i="25" s="1"/>
  <c r="E26" i="19"/>
  <c r="V26" i="19"/>
  <c r="L18" i="11"/>
  <c r="F26" i="28"/>
  <c r="L23" i="19"/>
  <c r="G31" i="28"/>
  <c r="G15" i="19"/>
  <c r="I13" i="11"/>
  <c r="D14" i="19"/>
  <c r="I22" i="28"/>
  <c r="AC10" i="19"/>
  <c r="AD10" i="19" s="1"/>
  <c r="L9" i="33" s="1"/>
  <c r="W10" i="19"/>
  <c r="G17" i="31" s="1"/>
  <c r="G17" i="30"/>
  <c r="C6" i="1"/>
  <c r="E8" i="1"/>
  <c r="O27" i="11" l="1"/>
  <c r="V27" i="11"/>
  <c r="H35" i="37"/>
  <c r="J36" i="36"/>
  <c r="H36" i="36"/>
  <c r="J35" i="37"/>
  <c r="I35" i="37"/>
  <c r="J27" i="11"/>
  <c r="I36" i="36"/>
  <c r="P13" i="11"/>
  <c r="N20" i="31"/>
  <c r="K22" i="36"/>
  <c r="K15" i="19"/>
  <c r="K24" i="28" s="1"/>
  <c r="P15" i="19"/>
  <c r="O22" i="31"/>
  <c r="P22" i="36"/>
  <c r="Q22" i="36" s="1"/>
  <c r="P29" i="31"/>
  <c r="K13" i="11"/>
  <c r="J22" i="28" s="1"/>
  <c r="K22" i="37"/>
  <c r="M31" i="28" s="1"/>
  <c r="G23" i="11"/>
  <c r="P22" i="37"/>
  <c r="Q22" i="37" s="1"/>
  <c r="Q29" i="31"/>
  <c r="U19" i="36"/>
  <c r="C27" i="19"/>
  <c r="H27" i="19"/>
  <c r="E34" i="37"/>
  <c r="F34" i="37" s="1"/>
  <c r="Q14" i="19"/>
  <c r="Q12" i="11"/>
  <c r="W16" i="37"/>
  <c r="W22" i="36"/>
  <c r="AC16" i="37"/>
  <c r="J26" i="31"/>
  <c r="S20" i="36"/>
  <c r="T20" i="36" s="1"/>
  <c r="R20" i="36" s="1"/>
  <c r="G23" i="37"/>
  <c r="S16" i="37"/>
  <c r="T16" i="37" s="1"/>
  <c r="U16" i="37" s="1"/>
  <c r="K22" i="31"/>
  <c r="AD19" i="36"/>
  <c r="AC20" i="36"/>
  <c r="J25" i="30"/>
  <c r="L31" i="28"/>
  <c r="AB15" i="37"/>
  <c r="AB18" i="36"/>
  <c r="AA19" i="36"/>
  <c r="G23" i="36"/>
  <c r="AE35" i="37"/>
  <c r="AF35" i="37" s="1"/>
  <c r="O35" i="37"/>
  <c r="B35" i="37"/>
  <c r="A36" i="37"/>
  <c r="C36" i="37" s="1"/>
  <c r="V35" i="37"/>
  <c r="L35" i="37"/>
  <c r="M35" i="37"/>
  <c r="N35" i="37" s="1"/>
  <c r="D35" i="37"/>
  <c r="L36" i="36"/>
  <c r="AE36" i="36"/>
  <c r="AF36" i="36" s="1"/>
  <c r="M36" i="36"/>
  <c r="N36" i="36" s="1"/>
  <c r="V36" i="36"/>
  <c r="A37" i="36"/>
  <c r="C37" i="36" s="1"/>
  <c r="O36" i="36"/>
  <c r="D36" i="36"/>
  <c r="B36" i="36"/>
  <c r="E36" i="36" s="1"/>
  <c r="F36" i="36" s="1"/>
  <c r="C33" i="31"/>
  <c r="H25" i="33"/>
  <c r="C35" i="28"/>
  <c r="C33" i="30"/>
  <c r="C34" i="25"/>
  <c r="E26" i="11"/>
  <c r="A28" i="11"/>
  <c r="C28" i="11" s="1"/>
  <c r="B27" i="11"/>
  <c r="M27" i="11"/>
  <c r="N27" i="11" s="1"/>
  <c r="AE27" i="11"/>
  <c r="AF27" i="11" s="1"/>
  <c r="F35" i="25" s="1"/>
  <c r="H27" i="11"/>
  <c r="D33" i="31"/>
  <c r="D35" i="28"/>
  <c r="D33" i="30"/>
  <c r="D34" i="25"/>
  <c r="I25" i="33"/>
  <c r="J25" i="33"/>
  <c r="L32" i="31"/>
  <c r="F26" i="19"/>
  <c r="E34" i="25"/>
  <c r="E33" i="31"/>
  <c r="E35" i="28"/>
  <c r="E33" i="30"/>
  <c r="A28" i="19"/>
  <c r="J28" i="19" s="1"/>
  <c r="M27" i="19"/>
  <c r="N27" i="19" s="1"/>
  <c r="B27" i="19"/>
  <c r="AE27" i="19"/>
  <c r="AF27" i="19" s="1"/>
  <c r="G35" i="25" s="1"/>
  <c r="I27" i="19"/>
  <c r="V27" i="19"/>
  <c r="M32" i="31"/>
  <c r="O27" i="19"/>
  <c r="G16" i="19"/>
  <c r="L24" i="19"/>
  <c r="G32" i="28"/>
  <c r="L19" i="11"/>
  <c r="F27" i="28"/>
  <c r="I14" i="11"/>
  <c r="D15" i="19"/>
  <c r="I23" i="28"/>
  <c r="X11" i="19"/>
  <c r="Y11" i="19" s="1"/>
  <c r="O28" i="11" l="1"/>
  <c r="H37" i="36"/>
  <c r="V28" i="11"/>
  <c r="J28" i="11"/>
  <c r="J37" i="36"/>
  <c r="I36" i="37"/>
  <c r="H36" i="37"/>
  <c r="I37" i="36"/>
  <c r="J36" i="37"/>
  <c r="P14" i="11"/>
  <c r="N21" i="31"/>
  <c r="P23" i="37"/>
  <c r="Q23" i="37" s="1"/>
  <c r="Q30" i="31"/>
  <c r="K16" i="19"/>
  <c r="K25" i="28" s="1"/>
  <c r="P16" i="19"/>
  <c r="O23" i="31"/>
  <c r="P23" i="36"/>
  <c r="Q23" i="36" s="1"/>
  <c r="P30" i="31"/>
  <c r="K23" i="36"/>
  <c r="L32" i="28" s="1"/>
  <c r="K23" i="37"/>
  <c r="M32" i="28" s="1"/>
  <c r="G24" i="11"/>
  <c r="K14" i="11"/>
  <c r="J23" i="28" s="1"/>
  <c r="U20" i="36"/>
  <c r="R16" i="37"/>
  <c r="K23" i="31" s="1"/>
  <c r="C28" i="19"/>
  <c r="H28" i="19"/>
  <c r="V28" i="19"/>
  <c r="Q15" i="19"/>
  <c r="Q13" i="11"/>
  <c r="E35" i="37"/>
  <c r="F35" i="37" s="1"/>
  <c r="AA16" i="37"/>
  <c r="AB16" i="37" s="1"/>
  <c r="J26" i="30"/>
  <c r="G24" i="36"/>
  <c r="AD16" i="37"/>
  <c r="AB19" i="36"/>
  <c r="AA20" i="36"/>
  <c r="AD20" i="36"/>
  <c r="AC21" i="36"/>
  <c r="X23" i="36"/>
  <c r="Y23" i="36" s="1"/>
  <c r="Z23" i="36" s="1"/>
  <c r="G24" i="37"/>
  <c r="J27" i="31"/>
  <c r="S21" i="36"/>
  <c r="T21" i="36" s="1"/>
  <c r="R21" i="36" s="1"/>
  <c r="X17" i="37"/>
  <c r="Y17" i="37" s="1"/>
  <c r="Z17" i="37" s="1"/>
  <c r="L36" i="37"/>
  <c r="M36" i="37"/>
  <c r="AE36" i="37"/>
  <c r="AF36" i="37" s="1"/>
  <c r="B36" i="37"/>
  <c r="V36" i="37"/>
  <c r="O36" i="37"/>
  <c r="D36" i="37"/>
  <c r="N36" i="37"/>
  <c r="E36" i="37"/>
  <c r="A37" i="37"/>
  <c r="C37" i="37" s="1"/>
  <c r="A38" i="36"/>
  <c r="C38" i="36" s="1"/>
  <c r="M37" i="36"/>
  <c r="L37" i="36"/>
  <c r="D37" i="36"/>
  <c r="V37" i="36"/>
  <c r="N37" i="36"/>
  <c r="B37" i="36"/>
  <c r="AE37" i="36"/>
  <c r="AF37" i="36" s="1"/>
  <c r="O37" i="36"/>
  <c r="C36" i="28"/>
  <c r="C34" i="30"/>
  <c r="C34" i="31"/>
  <c r="C35" i="25"/>
  <c r="H26" i="33"/>
  <c r="E27" i="11"/>
  <c r="A29" i="11"/>
  <c r="B28" i="11"/>
  <c r="M28" i="11"/>
  <c r="N28" i="11" s="1"/>
  <c r="AE28" i="11"/>
  <c r="AF28" i="11" s="1"/>
  <c r="F36" i="25" s="1"/>
  <c r="H28" i="11"/>
  <c r="D34" i="30"/>
  <c r="D34" i="31"/>
  <c r="D35" i="25"/>
  <c r="D36" i="28"/>
  <c r="I26" i="33"/>
  <c r="J26" i="33"/>
  <c r="L33" i="31"/>
  <c r="M33" i="31"/>
  <c r="A29" i="19"/>
  <c r="J29" i="19" s="1"/>
  <c r="M28" i="19"/>
  <c r="B28" i="19"/>
  <c r="AE28" i="19"/>
  <c r="AF28" i="19" s="1"/>
  <c r="G36" i="25" s="1"/>
  <c r="E28" i="19"/>
  <c r="N28" i="19"/>
  <c r="O28" i="19"/>
  <c r="E34" i="30"/>
  <c r="E36" i="28"/>
  <c r="E35" i="25"/>
  <c r="E34" i="31"/>
  <c r="I28" i="19"/>
  <c r="E27" i="19"/>
  <c r="F27" i="19" s="1"/>
  <c r="L20" i="11"/>
  <c r="F28" i="28"/>
  <c r="I15" i="11"/>
  <c r="L25" i="19"/>
  <c r="G33" i="28"/>
  <c r="G17" i="19"/>
  <c r="D16" i="19"/>
  <c r="I24" i="28"/>
  <c r="W11" i="19"/>
  <c r="Z11" i="19"/>
  <c r="AC11" i="19"/>
  <c r="AD11" i="19" s="1"/>
  <c r="C18" i="1"/>
  <c r="C16" i="1"/>
  <c r="C12" i="1"/>
  <c r="H37" i="37" l="1"/>
  <c r="I37" i="37"/>
  <c r="H38" i="36"/>
  <c r="O29" i="11"/>
  <c r="C29" i="11"/>
  <c r="J37" i="37"/>
  <c r="J38" i="36"/>
  <c r="C20" i="1"/>
  <c r="I38" i="36"/>
  <c r="J29" i="11"/>
  <c r="P15" i="11"/>
  <c r="N22" i="31"/>
  <c r="K15" i="11"/>
  <c r="J24" i="28" s="1"/>
  <c r="K24" i="37"/>
  <c r="M33" i="28" s="1"/>
  <c r="P17" i="19"/>
  <c r="O24" i="31"/>
  <c r="P24" i="37"/>
  <c r="Q24" i="37" s="1"/>
  <c r="Q31" i="31"/>
  <c r="G25" i="11"/>
  <c r="G26" i="11" s="1"/>
  <c r="K24" i="36"/>
  <c r="P24" i="36"/>
  <c r="Q24" i="36" s="1"/>
  <c r="P31" i="31"/>
  <c r="K17" i="19"/>
  <c r="K26" i="28" s="1"/>
  <c r="K23" i="30"/>
  <c r="U21" i="36"/>
  <c r="I29" i="19"/>
  <c r="C29" i="19"/>
  <c r="H29" i="19"/>
  <c r="O29" i="19"/>
  <c r="Q16" i="19"/>
  <c r="Q14" i="11"/>
  <c r="Q15" i="11" s="1"/>
  <c r="F36" i="37"/>
  <c r="E37" i="36"/>
  <c r="F37" i="36" s="1"/>
  <c r="M34" i="31"/>
  <c r="S17" i="37"/>
  <c r="T17" i="37" s="1"/>
  <c r="U17" i="37" s="1"/>
  <c r="W17" i="37"/>
  <c r="X18" i="37" s="1"/>
  <c r="Y18" i="37" s="1"/>
  <c r="Z18" i="37" s="1"/>
  <c r="G25" i="37"/>
  <c r="J27" i="30"/>
  <c r="J28" i="31"/>
  <c r="S22" i="36"/>
  <c r="T22" i="36" s="1"/>
  <c r="R22" i="36" s="1"/>
  <c r="AD21" i="36"/>
  <c r="AC22" i="36"/>
  <c r="AB20" i="36"/>
  <c r="AA21" i="36"/>
  <c r="G25" i="36"/>
  <c r="W23" i="36"/>
  <c r="AC17" i="37"/>
  <c r="A38" i="37"/>
  <c r="C38" i="37" s="1"/>
  <c r="M37" i="37"/>
  <c r="N37" i="37" s="1"/>
  <c r="B37" i="37"/>
  <c r="V37" i="37"/>
  <c r="O37" i="37"/>
  <c r="AE37" i="37"/>
  <c r="AF37" i="37" s="1"/>
  <c r="L37" i="37"/>
  <c r="E37" i="37"/>
  <c r="D37" i="37"/>
  <c r="V38" i="36"/>
  <c r="A39" i="36"/>
  <c r="C39" i="36" s="1"/>
  <c r="M38" i="36"/>
  <c r="N38" i="36" s="1"/>
  <c r="D38" i="36"/>
  <c r="AE38" i="36"/>
  <c r="O38" i="36"/>
  <c r="L38" i="36"/>
  <c r="B38" i="36"/>
  <c r="E38" i="36" s="1"/>
  <c r="F38" i="36" s="1"/>
  <c r="AF38" i="36"/>
  <c r="C35" i="30"/>
  <c r="H27" i="33"/>
  <c r="C36" i="25"/>
  <c r="C37" i="28"/>
  <c r="C35" i="31"/>
  <c r="E28" i="11"/>
  <c r="A30" i="11"/>
  <c r="C30" i="11" s="1"/>
  <c r="B29" i="11"/>
  <c r="M29" i="11"/>
  <c r="N29" i="11" s="1"/>
  <c r="AE29" i="11"/>
  <c r="AF29" i="11" s="1"/>
  <c r="F37" i="25" s="1"/>
  <c r="H29" i="11"/>
  <c r="V29" i="11"/>
  <c r="D36" i="25"/>
  <c r="D35" i="30"/>
  <c r="D37" i="28"/>
  <c r="D35" i="31"/>
  <c r="I27" i="33"/>
  <c r="J27" i="33"/>
  <c r="G27" i="11"/>
  <c r="L34" i="31"/>
  <c r="F28" i="19"/>
  <c r="E35" i="31"/>
  <c r="E35" i="30"/>
  <c r="E36" i="25"/>
  <c r="E37" i="28"/>
  <c r="A30" i="19"/>
  <c r="J30" i="19" s="1"/>
  <c r="B29" i="19"/>
  <c r="M29" i="19"/>
  <c r="N29" i="19" s="1"/>
  <c r="AE29" i="19"/>
  <c r="AF29" i="19" s="1"/>
  <c r="G37" i="25" s="1"/>
  <c r="E29" i="19"/>
  <c r="O30" i="19"/>
  <c r="V29" i="19"/>
  <c r="I16" i="11"/>
  <c r="L26" i="19"/>
  <c r="G34" i="28"/>
  <c r="G18" i="19"/>
  <c r="L21" i="11"/>
  <c r="F29" i="28"/>
  <c r="D17" i="19"/>
  <c r="I25" i="28"/>
  <c r="G18" i="30"/>
  <c r="X12" i="19"/>
  <c r="Y12" i="19" s="1"/>
  <c r="Z12" i="19" s="1"/>
  <c r="G18" i="31"/>
  <c r="L10" i="33"/>
  <c r="G12" i="1"/>
  <c r="G18" i="1"/>
  <c r="E18" i="1"/>
  <c r="E16" i="1"/>
  <c r="E10" i="1"/>
  <c r="J39" i="36" l="1"/>
  <c r="H39" i="36"/>
  <c r="G20" i="1"/>
  <c r="J30" i="11"/>
  <c r="J38" i="37"/>
  <c r="I38" i="37"/>
  <c r="I39" i="36"/>
  <c r="H38" i="37"/>
  <c r="K25" i="37"/>
  <c r="M34" i="28" s="1"/>
  <c r="K25" i="36"/>
  <c r="K18" i="19"/>
  <c r="K27" i="28" s="1"/>
  <c r="K16" i="11"/>
  <c r="J25" i="28" s="1"/>
  <c r="L33" i="28"/>
  <c r="P25" i="36"/>
  <c r="Q25" i="36" s="1"/>
  <c r="P32" i="31"/>
  <c r="P18" i="19"/>
  <c r="O25" i="31"/>
  <c r="P16" i="11"/>
  <c r="Q16" i="11" s="1"/>
  <c r="N23" i="31"/>
  <c r="G26" i="37"/>
  <c r="P25" i="37"/>
  <c r="Q25" i="37" s="1"/>
  <c r="Q32" i="31"/>
  <c r="U22" i="36"/>
  <c r="R17" i="37"/>
  <c r="Q17" i="19"/>
  <c r="C30" i="19"/>
  <c r="H30" i="19"/>
  <c r="F37" i="37"/>
  <c r="M35" i="31"/>
  <c r="AA17" i="37"/>
  <c r="AB17" i="37" s="1"/>
  <c r="W18" i="37"/>
  <c r="X19" i="37" s="1"/>
  <c r="Y19" i="37" s="1"/>
  <c r="G26" i="36"/>
  <c r="AD17" i="37"/>
  <c r="AC18" i="37"/>
  <c r="X24" i="36"/>
  <c r="Y24" i="36" s="1"/>
  <c r="Z24" i="36" s="1"/>
  <c r="AA22" i="36"/>
  <c r="AB21" i="36"/>
  <c r="AD22" i="36"/>
  <c r="AC23" i="36"/>
  <c r="J29" i="31"/>
  <c r="S23" i="36"/>
  <c r="T23" i="36" s="1"/>
  <c r="R23" i="36" s="1"/>
  <c r="J28" i="30"/>
  <c r="V38" i="37"/>
  <c r="AE38" i="37"/>
  <c r="AF38" i="37" s="1"/>
  <c r="O38" i="37"/>
  <c r="E38" i="37"/>
  <c r="M38" i="37"/>
  <c r="N38" i="37" s="1"/>
  <c r="B38" i="37"/>
  <c r="A39" i="37"/>
  <c r="C39" i="37" s="1"/>
  <c r="L38" i="37"/>
  <c r="D38" i="37"/>
  <c r="AE39" i="36"/>
  <c r="AF39" i="36" s="1"/>
  <c r="O39" i="36"/>
  <c r="B39" i="36"/>
  <c r="V39" i="36"/>
  <c r="A40" i="36"/>
  <c r="C40" i="36" s="1"/>
  <c r="M39" i="36"/>
  <c r="N39" i="36" s="1"/>
  <c r="L39" i="36"/>
  <c r="D39" i="36"/>
  <c r="A31" i="11"/>
  <c r="C31" i="11" s="1"/>
  <c r="M30" i="11"/>
  <c r="N30" i="11" s="1"/>
  <c r="B30" i="11"/>
  <c r="AE30" i="11"/>
  <c r="AF30" i="11" s="1"/>
  <c r="F38" i="25" s="1"/>
  <c r="H30" i="11"/>
  <c r="H31" i="11" s="1"/>
  <c r="V30" i="11"/>
  <c r="C36" i="31"/>
  <c r="C37" i="25"/>
  <c r="C38" i="28"/>
  <c r="H28" i="33"/>
  <c r="C36" i="30"/>
  <c r="E29" i="11"/>
  <c r="O30" i="11"/>
  <c r="O31" i="11" s="1"/>
  <c r="D38" i="28"/>
  <c r="D36" i="30"/>
  <c r="D37" i="25"/>
  <c r="D36" i="31"/>
  <c r="I28" i="33"/>
  <c r="J28" i="33"/>
  <c r="L35" i="31"/>
  <c r="G28" i="11"/>
  <c r="A31" i="19"/>
  <c r="C31" i="19" s="1"/>
  <c r="B30" i="19"/>
  <c r="M30" i="19"/>
  <c r="N30" i="19" s="1"/>
  <c r="AE30" i="19"/>
  <c r="AF30" i="19" s="1"/>
  <c r="G38" i="25" s="1"/>
  <c r="E30" i="19"/>
  <c r="I30" i="19"/>
  <c r="V30" i="19"/>
  <c r="E38" i="28"/>
  <c r="E37" i="25"/>
  <c r="E36" i="30"/>
  <c r="E36" i="31"/>
  <c r="F29" i="19"/>
  <c r="L22" i="11"/>
  <c r="F30" i="28"/>
  <c r="L27" i="19"/>
  <c r="G35" i="28"/>
  <c r="G19" i="19"/>
  <c r="I17" i="11"/>
  <c r="D18" i="19"/>
  <c r="I26" i="28"/>
  <c r="W12" i="19"/>
  <c r="X13" i="19" s="1"/>
  <c r="Y13" i="19" s="1"/>
  <c r="Z13" i="19" s="1"/>
  <c r="AC12" i="19"/>
  <c r="AD12" i="19" s="1"/>
  <c r="E20" i="1"/>
  <c r="V31" i="11" l="1"/>
  <c r="I40" i="36"/>
  <c r="I39" i="37"/>
  <c r="H40" i="36"/>
  <c r="J39" i="37"/>
  <c r="J40" i="36"/>
  <c r="H39" i="37"/>
  <c r="J31" i="11"/>
  <c r="J31" i="19"/>
  <c r="P26" i="36"/>
  <c r="P33" i="31"/>
  <c r="L34" i="28"/>
  <c r="K26" i="36"/>
  <c r="P26" i="37"/>
  <c r="Q26" i="37" s="1"/>
  <c r="Q33" i="31"/>
  <c r="G27" i="37"/>
  <c r="K26" i="37"/>
  <c r="M35" i="28" s="1"/>
  <c r="K17" i="11"/>
  <c r="J26" i="28" s="1"/>
  <c r="N24" i="31"/>
  <c r="P17" i="11"/>
  <c r="Q17" i="11" s="1"/>
  <c r="P19" i="19"/>
  <c r="O26" i="31"/>
  <c r="Q18" i="19"/>
  <c r="K19" i="19"/>
  <c r="K28" i="28" s="1"/>
  <c r="K24" i="30"/>
  <c r="U23" i="36"/>
  <c r="V31" i="19"/>
  <c r="H31" i="19"/>
  <c r="I31" i="19"/>
  <c r="F38" i="37"/>
  <c r="G28" i="37"/>
  <c r="E39" i="36"/>
  <c r="F39" i="36" s="1"/>
  <c r="K24" i="31"/>
  <c r="S18" i="37"/>
  <c r="T18" i="37" s="1"/>
  <c r="W24" i="36"/>
  <c r="X25" i="36" s="1"/>
  <c r="Y25" i="36" s="1"/>
  <c r="Z25" i="36" s="1"/>
  <c r="Z19" i="37"/>
  <c r="W19" i="37"/>
  <c r="X20" i="37" s="1"/>
  <c r="Y20" i="37" s="1"/>
  <c r="AB22" i="36"/>
  <c r="AA23" i="36"/>
  <c r="J29" i="30"/>
  <c r="AD23" i="36"/>
  <c r="AC24" i="36"/>
  <c r="AD18" i="37"/>
  <c r="AC19" i="37"/>
  <c r="AD19" i="37" s="1"/>
  <c r="J30" i="31"/>
  <c r="S24" i="36"/>
  <c r="T24" i="36" s="1"/>
  <c r="R24" i="36" s="1"/>
  <c r="G27" i="36"/>
  <c r="Q26" i="36"/>
  <c r="AE39" i="37"/>
  <c r="AF39" i="37" s="1"/>
  <c r="O39" i="37"/>
  <c r="B39" i="37"/>
  <c r="E39" i="37"/>
  <c r="M39" i="37"/>
  <c r="N39" i="37" s="1"/>
  <c r="A40" i="37"/>
  <c r="C40" i="37" s="1"/>
  <c r="V39" i="37"/>
  <c r="L39" i="37"/>
  <c r="L40" i="36"/>
  <c r="AE40" i="36"/>
  <c r="AF40" i="36" s="1"/>
  <c r="O40" i="36"/>
  <c r="B40" i="36"/>
  <c r="E40" i="36" s="1"/>
  <c r="V40" i="36"/>
  <c r="A41" i="36"/>
  <c r="C41" i="36" s="1"/>
  <c r="M40" i="36"/>
  <c r="N40" i="36" s="1"/>
  <c r="D40" i="36"/>
  <c r="C37" i="31"/>
  <c r="C38" i="25"/>
  <c r="H29" i="33"/>
  <c r="C39" i="28"/>
  <c r="C37" i="30"/>
  <c r="E30" i="11"/>
  <c r="A32" i="11"/>
  <c r="B31" i="11"/>
  <c r="M31" i="11"/>
  <c r="N31" i="11" s="1"/>
  <c r="AE31" i="11"/>
  <c r="AF31" i="11" s="1"/>
  <c r="F39" i="25" s="1"/>
  <c r="D37" i="31"/>
  <c r="D39" i="28"/>
  <c r="D38" i="25"/>
  <c r="D37" i="30"/>
  <c r="I29" i="33"/>
  <c r="J29" i="33"/>
  <c r="G29" i="11"/>
  <c r="L36" i="31"/>
  <c r="E37" i="30"/>
  <c r="E39" i="28"/>
  <c r="E38" i="25"/>
  <c r="E37" i="31"/>
  <c r="M36" i="31"/>
  <c r="A32" i="19"/>
  <c r="C32" i="19" s="1"/>
  <c r="M31" i="19"/>
  <c r="N31" i="19" s="1"/>
  <c r="B31" i="19"/>
  <c r="AE31" i="19"/>
  <c r="AF31" i="19" s="1"/>
  <c r="G39" i="25" s="1"/>
  <c r="E31" i="19"/>
  <c r="F30" i="19"/>
  <c r="O31" i="19"/>
  <c r="L28" i="19"/>
  <c r="G36" i="28"/>
  <c r="L23" i="11"/>
  <c r="F31" i="28"/>
  <c r="I18" i="11"/>
  <c r="G20" i="19"/>
  <c r="D19" i="19"/>
  <c r="I27" i="28"/>
  <c r="W13" i="19"/>
  <c r="X14" i="19" s="1"/>
  <c r="Y14" i="19" s="1"/>
  <c r="Z14" i="19" s="1"/>
  <c r="G19" i="31"/>
  <c r="G19" i="30"/>
  <c r="AC13" i="19"/>
  <c r="AD13" i="19" s="1"/>
  <c r="L11" i="33"/>
  <c r="O32" i="19" l="1"/>
  <c r="J32" i="19"/>
  <c r="J40" i="37"/>
  <c r="J32" i="11"/>
  <c r="H41" i="36"/>
  <c r="H32" i="11"/>
  <c r="C32" i="11"/>
  <c r="H40" i="37"/>
  <c r="I40" i="37"/>
  <c r="J41" i="36"/>
  <c r="I41" i="36"/>
  <c r="P27" i="36"/>
  <c r="Q27" i="36" s="1"/>
  <c r="P34" i="31"/>
  <c r="K27" i="36"/>
  <c r="L36" i="28" s="1"/>
  <c r="F40" i="36"/>
  <c r="L35" i="28"/>
  <c r="R18" i="37"/>
  <c r="U18" i="37"/>
  <c r="K25" i="30" s="1"/>
  <c r="P28" i="37"/>
  <c r="Q35" i="31"/>
  <c r="P27" i="37"/>
  <c r="Q27" i="37" s="1"/>
  <c r="Q34" i="31"/>
  <c r="K27" i="37"/>
  <c r="K28" i="37" s="1"/>
  <c r="Q19" i="19"/>
  <c r="P20" i="19"/>
  <c r="O27" i="31"/>
  <c r="P18" i="11"/>
  <c r="Q18" i="11" s="1"/>
  <c r="N25" i="31"/>
  <c r="K20" i="19"/>
  <c r="K29" i="28" s="1"/>
  <c r="K18" i="11"/>
  <c r="J27" i="28" s="1"/>
  <c r="U24" i="36"/>
  <c r="J31" i="30" s="1"/>
  <c r="I32" i="19"/>
  <c r="H32" i="19"/>
  <c r="D39" i="37"/>
  <c r="D40" i="37" s="1"/>
  <c r="G29" i="37"/>
  <c r="F39" i="37"/>
  <c r="M37" i="31"/>
  <c r="AA18" i="37"/>
  <c r="AC20" i="37"/>
  <c r="AD20" i="37" s="1"/>
  <c r="W25" i="36"/>
  <c r="X26" i="36" s="1"/>
  <c r="Y26" i="36" s="1"/>
  <c r="Z26" i="36" s="1"/>
  <c r="J31" i="31"/>
  <c r="S25" i="36"/>
  <c r="T25" i="36" s="1"/>
  <c r="R25" i="36" s="1"/>
  <c r="AD24" i="36"/>
  <c r="AC25" i="36"/>
  <c r="AD25" i="36" s="1"/>
  <c r="AB23" i="36"/>
  <c r="AA24" i="36"/>
  <c r="Z20" i="37"/>
  <c r="J30" i="30"/>
  <c r="G28" i="36"/>
  <c r="W20" i="37"/>
  <c r="L40" i="37"/>
  <c r="E40" i="37"/>
  <c r="A41" i="37"/>
  <c r="C41" i="37" s="1"/>
  <c r="V40" i="37"/>
  <c r="AE40" i="37"/>
  <c r="AF40" i="37" s="1"/>
  <c r="O40" i="37"/>
  <c r="B40" i="37"/>
  <c r="M40" i="37"/>
  <c r="N40" i="37" s="1"/>
  <c r="A42" i="36"/>
  <c r="C42" i="36" s="1"/>
  <c r="M41" i="36"/>
  <c r="N41" i="36" s="1"/>
  <c r="L41" i="36"/>
  <c r="D41" i="36"/>
  <c r="AE41" i="36"/>
  <c r="AF41" i="36" s="1"/>
  <c r="O41" i="36"/>
  <c r="B41" i="36"/>
  <c r="E41" i="36" s="1"/>
  <c r="F41" i="36" s="1"/>
  <c r="V41" i="36"/>
  <c r="C40" i="28"/>
  <c r="C39" i="25"/>
  <c r="C38" i="30"/>
  <c r="C38" i="31"/>
  <c r="H30" i="33"/>
  <c r="E31" i="11"/>
  <c r="A33" i="11"/>
  <c r="C33" i="11" s="1"/>
  <c r="B32" i="11"/>
  <c r="M32" i="11"/>
  <c r="N32" i="11" s="1"/>
  <c r="AE32" i="11"/>
  <c r="AF32" i="11" s="1"/>
  <c r="F40" i="25" s="1"/>
  <c r="O32" i="11"/>
  <c r="V32" i="11"/>
  <c r="F31" i="19"/>
  <c r="D38" i="30"/>
  <c r="D38" i="31"/>
  <c r="D40" i="28"/>
  <c r="D39" i="25"/>
  <c r="I30" i="33"/>
  <c r="J30" i="33"/>
  <c r="G30" i="11"/>
  <c r="L37" i="31"/>
  <c r="E38" i="30"/>
  <c r="E38" i="31"/>
  <c r="E39" i="25"/>
  <c r="E40" i="28"/>
  <c r="A33" i="19"/>
  <c r="M32" i="19"/>
  <c r="N32" i="19" s="1"/>
  <c r="B32" i="19"/>
  <c r="AE32" i="19"/>
  <c r="AF32" i="19" s="1"/>
  <c r="G40" i="25" s="1"/>
  <c r="E32" i="19"/>
  <c r="V32" i="19"/>
  <c r="G21" i="19"/>
  <c r="L24" i="11"/>
  <c r="F32" i="28"/>
  <c r="I19" i="11"/>
  <c r="L29" i="19"/>
  <c r="G37" i="28"/>
  <c r="G20" i="31"/>
  <c r="D20" i="19"/>
  <c r="I28" i="28"/>
  <c r="W14" i="19"/>
  <c r="X15" i="19" s="1"/>
  <c r="AC14" i="19"/>
  <c r="AD14" i="19" s="1"/>
  <c r="L12" i="33"/>
  <c r="G20" i="30"/>
  <c r="V33" i="19" l="1"/>
  <c r="I41" i="37"/>
  <c r="H42" i="36"/>
  <c r="H41" i="37"/>
  <c r="J33" i="11"/>
  <c r="I42" i="36"/>
  <c r="J41" i="37"/>
  <c r="J42" i="36"/>
  <c r="J33" i="19"/>
  <c r="P28" i="36"/>
  <c r="P35" i="31"/>
  <c r="K28" i="36"/>
  <c r="L37" i="28" s="1"/>
  <c r="Q28" i="37"/>
  <c r="Q20" i="19"/>
  <c r="M36" i="28"/>
  <c r="P29" i="37"/>
  <c r="Q36" i="31"/>
  <c r="K29" i="37"/>
  <c r="P21" i="19"/>
  <c r="O28" i="31"/>
  <c r="K19" i="11"/>
  <c r="J28" i="28" s="1"/>
  <c r="P19" i="11"/>
  <c r="Q19" i="11" s="1"/>
  <c r="N26" i="31"/>
  <c r="K21" i="19"/>
  <c r="K30" i="28" s="1"/>
  <c r="U25" i="36"/>
  <c r="O33" i="19"/>
  <c r="C33" i="19"/>
  <c r="H33" i="19"/>
  <c r="I33" i="19"/>
  <c r="M37" i="28"/>
  <c r="F40" i="37"/>
  <c r="G30" i="37"/>
  <c r="AB18" i="37"/>
  <c r="K25" i="31"/>
  <c r="S19" i="37"/>
  <c r="T19" i="37" s="1"/>
  <c r="U19" i="37" s="1"/>
  <c r="AC26" i="36"/>
  <c r="AD26" i="36" s="1"/>
  <c r="G29" i="36"/>
  <c r="Q28" i="36"/>
  <c r="J32" i="31"/>
  <c r="S26" i="36"/>
  <c r="T26" i="36" s="1"/>
  <c r="R26" i="36" s="1"/>
  <c r="X21" i="37"/>
  <c r="Y21" i="37" s="1"/>
  <c r="AC21" i="37" s="1"/>
  <c r="AD21" i="37" s="1"/>
  <c r="AA25" i="36"/>
  <c r="AB24" i="36"/>
  <c r="W26" i="36"/>
  <c r="A42" i="37"/>
  <c r="C42" i="37" s="1"/>
  <c r="M41" i="37"/>
  <c r="N41" i="37" s="1"/>
  <c r="D41" i="37"/>
  <c r="L41" i="37"/>
  <c r="V41" i="37"/>
  <c r="E41" i="37"/>
  <c r="O41" i="37"/>
  <c r="B41" i="37"/>
  <c r="AE41" i="37"/>
  <c r="AF41" i="37" s="1"/>
  <c r="V42" i="36"/>
  <c r="N42" i="36"/>
  <c r="A43" i="36"/>
  <c r="C43" i="36" s="1"/>
  <c r="M42" i="36"/>
  <c r="L42" i="36"/>
  <c r="D42" i="36"/>
  <c r="B42" i="36"/>
  <c r="E42" i="36" s="1"/>
  <c r="F42" i="36" s="1"/>
  <c r="AE42" i="36"/>
  <c r="AF42" i="36" s="1"/>
  <c r="O42" i="36"/>
  <c r="V33" i="11"/>
  <c r="O33" i="11"/>
  <c r="O34" i="11" s="1"/>
  <c r="A34" i="11"/>
  <c r="C34" i="11" s="1"/>
  <c r="B33" i="11"/>
  <c r="M33" i="11"/>
  <c r="N33" i="11" s="1"/>
  <c r="AE33" i="11"/>
  <c r="AF33" i="11" s="1"/>
  <c r="F41" i="25" s="1"/>
  <c r="C41" i="28"/>
  <c r="C39" i="31"/>
  <c r="C40" i="25"/>
  <c r="H31" i="33"/>
  <c r="C39" i="30"/>
  <c r="E32" i="11"/>
  <c r="H33" i="11"/>
  <c r="H34" i="11" s="1"/>
  <c r="D40" i="25"/>
  <c r="D39" i="30"/>
  <c r="D39" i="31"/>
  <c r="D41" i="28"/>
  <c r="I31" i="33"/>
  <c r="J31" i="33"/>
  <c r="L38" i="31"/>
  <c r="G31" i="11"/>
  <c r="E41" i="28"/>
  <c r="E39" i="30"/>
  <c r="E40" i="25"/>
  <c r="E39" i="31"/>
  <c r="A34" i="19"/>
  <c r="C34" i="19" s="1"/>
  <c r="B33" i="19"/>
  <c r="M33" i="19"/>
  <c r="N33" i="19" s="1"/>
  <c r="AE33" i="19"/>
  <c r="AF33" i="19" s="1"/>
  <c r="G41" i="25" s="1"/>
  <c r="E33" i="19"/>
  <c r="M38" i="31"/>
  <c r="F32" i="19"/>
  <c r="L30" i="19"/>
  <c r="G38" i="28"/>
  <c r="G22" i="19"/>
  <c r="I20" i="11"/>
  <c r="L25" i="11"/>
  <c r="F33" i="28"/>
  <c r="G21" i="31"/>
  <c r="D21" i="19"/>
  <c r="I29" i="28"/>
  <c r="L13" i="33"/>
  <c r="G21" i="30"/>
  <c r="Y15" i="19"/>
  <c r="D7" i="11"/>
  <c r="V34" i="19" l="1"/>
  <c r="J34" i="19"/>
  <c r="J34" i="11"/>
  <c r="J43" i="36"/>
  <c r="H42" i="37"/>
  <c r="J42" i="37"/>
  <c r="H43" i="36"/>
  <c r="I43" i="36"/>
  <c r="I42" i="37"/>
  <c r="Q29" i="37"/>
  <c r="K29" i="36"/>
  <c r="L38" i="28" s="1"/>
  <c r="P29" i="36"/>
  <c r="Q29" i="36" s="1"/>
  <c r="P36" i="31"/>
  <c r="J32" i="30"/>
  <c r="U26" i="36"/>
  <c r="F41" i="37"/>
  <c r="Q21" i="19"/>
  <c r="K30" i="37"/>
  <c r="P30" i="37"/>
  <c r="Q30" i="37" s="1"/>
  <c r="Q37" i="31"/>
  <c r="N27" i="31"/>
  <c r="P20" i="11"/>
  <c r="Q20" i="11" s="1"/>
  <c r="P22" i="19"/>
  <c r="O29" i="31"/>
  <c r="K20" i="11"/>
  <c r="J29" i="28" s="1"/>
  <c r="K22" i="19"/>
  <c r="K31" i="28" s="1"/>
  <c r="K26" i="30"/>
  <c r="R19" i="37"/>
  <c r="H34" i="19"/>
  <c r="M38" i="28"/>
  <c r="G31" i="37"/>
  <c r="AA19" i="37"/>
  <c r="X27" i="36"/>
  <c r="Y27" i="36" s="1"/>
  <c r="W27" i="36" s="1"/>
  <c r="X28" i="36" s="1"/>
  <c r="Y28" i="36" s="1"/>
  <c r="W28" i="36" s="1"/>
  <c r="X29" i="36" s="1"/>
  <c r="Y29" i="36" s="1"/>
  <c r="W29" i="36" s="1"/>
  <c r="X30" i="36" s="1"/>
  <c r="Y30" i="36" s="1"/>
  <c r="W30" i="36" s="1"/>
  <c r="AB25" i="36"/>
  <c r="AA26" i="36"/>
  <c r="W21" i="37"/>
  <c r="J33" i="31"/>
  <c r="S27" i="36"/>
  <c r="T27" i="36" s="1"/>
  <c r="R27" i="36" s="1"/>
  <c r="Z21" i="37"/>
  <c r="G30" i="36"/>
  <c r="V42" i="37"/>
  <c r="M42" i="37"/>
  <c r="N42" i="37" s="1"/>
  <c r="B42" i="37"/>
  <c r="A43" i="37"/>
  <c r="C43" i="37" s="1"/>
  <c r="L42" i="37"/>
  <c r="D42" i="37"/>
  <c r="O42" i="37"/>
  <c r="E42" i="37"/>
  <c r="AE42" i="37"/>
  <c r="AF42" i="37" s="1"/>
  <c r="AE43" i="36"/>
  <c r="O43" i="36"/>
  <c r="B43" i="36"/>
  <c r="V43" i="36"/>
  <c r="A44" i="36"/>
  <c r="C44" i="36" s="1"/>
  <c r="M43" i="36"/>
  <c r="N43" i="36" s="1"/>
  <c r="D43" i="36"/>
  <c r="AF43" i="36"/>
  <c r="L43" i="36"/>
  <c r="C40" i="31"/>
  <c r="C42" i="28"/>
  <c r="C41" i="25"/>
  <c r="C40" i="30"/>
  <c r="H32" i="33"/>
  <c r="E33" i="11"/>
  <c r="A35" i="11"/>
  <c r="C35" i="11" s="1"/>
  <c r="B34" i="11"/>
  <c r="M34" i="11"/>
  <c r="N34" i="11" s="1"/>
  <c r="AE34" i="11"/>
  <c r="AF34" i="11" s="1"/>
  <c r="F42" i="25" s="1"/>
  <c r="V34" i="11"/>
  <c r="D42" i="28"/>
  <c r="D41" i="25"/>
  <c r="D40" i="30"/>
  <c r="D40" i="31"/>
  <c r="F33" i="19"/>
  <c r="I32" i="33"/>
  <c r="J32" i="33"/>
  <c r="G32" i="11"/>
  <c r="L39" i="31"/>
  <c r="A35" i="19"/>
  <c r="C35" i="19" s="1"/>
  <c r="B34" i="19"/>
  <c r="M34" i="19"/>
  <c r="N34" i="19" s="1"/>
  <c r="AE34" i="19"/>
  <c r="AF34" i="19" s="1"/>
  <c r="G42" i="25" s="1"/>
  <c r="E34" i="19"/>
  <c r="I34" i="19"/>
  <c r="M39" i="31"/>
  <c r="E42" i="28"/>
  <c r="E41" i="25"/>
  <c r="E40" i="31"/>
  <c r="E40" i="30"/>
  <c r="O34" i="19"/>
  <c r="O35" i="19" s="1"/>
  <c r="L31" i="19"/>
  <c r="G39" i="28"/>
  <c r="I21" i="11"/>
  <c r="L26" i="11"/>
  <c r="F34" i="28"/>
  <c r="G23" i="19"/>
  <c r="W15" i="19"/>
  <c r="X16" i="19" s="1"/>
  <c r="Z15" i="19"/>
  <c r="D22" i="19"/>
  <c r="I30" i="28"/>
  <c r="AC15" i="19"/>
  <c r="AD15" i="19" s="1"/>
  <c r="H15" i="28"/>
  <c r="D8" i="1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D34" i="11" s="1"/>
  <c r="F6" i="1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V35" i="19" l="1"/>
  <c r="I35" i="19"/>
  <c r="I44" i="36"/>
  <c r="J44" i="36"/>
  <c r="H44" i="36"/>
  <c r="J35" i="11"/>
  <c r="J43" i="37"/>
  <c r="J35" i="19"/>
  <c r="I43" i="37"/>
  <c r="H43" i="37"/>
  <c r="Q22" i="19"/>
  <c r="F33" i="11"/>
  <c r="U27" i="36"/>
  <c r="J34" i="30" s="1"/>
  <c r="G31" i="36"/>
  <c r="P30" i="36"/>
  <c r="Q30" i="36" s="1"/>
  <c r="P37" i="31"/>
  <c r="J33" i="30"/>
  <c r="K30" i="36"/>
  <c r="K31" i="36" s="1"/>
  <c r="P31" i="37"/>
  <c r="Q38" i="31"/>
  <c r="K31" i="37"/>
  <c r="P23" i="19"/>
  <c r="O30" i="31"/>
  <c r="K23" i="19"/>
  <c r="K32" i="28" s="1"/>
  <c r="N28" i="31"/>
  <c r="P21" i="11"/>
  <c r="Q21" i="11" s="1"/>
  <c r="K21" i="11"/>
  <c r="J30" i="28" s="1"/>
  <c r="H35" i="19"/>
  <c r="F42" i="37"/>
  <c r="G32" i="37"/>
  <c r="Q31" i="37"/>
  <c r="M39" i="28"/>
  <c r="X31" i="36"/>
  <c r="Y31" i="36" s="1"/>
  <c r="W31" i="36" s="1"/>
  <c r="E43" i="36"/>
  <c r="F43" i="36" s="1"/>
  <c r="G32" i="36"/>
  <c r="K26" i="31"/>
  <c r="S20" i="37"/>
  <c r="T20" i="37" s="1"/>
  <c r="U20" i="37" s="1"/>
  <c r="AB19" i="37"/>
  <c r="S28" i="36"/>
  <c r="T28" i="36" s="1"/>
  <c r="R28" i="36" s="1"/>
  <c r="J34" i="31"/>
  <c r="AB26" i="36"/>
  <c r="AA27" i="36"/>
  <c r="AB27" i="36" s="1"/>
  <c r="X22" i="37"/>
  <c r="Y22" i="37" s="1"/>
  <c r="AC22" i="37" s="1"/>
  <c r="AC27" i="36"/>
  <c r="Z27" i="36"/>
  <c r="Z28" i="36" s="1"/>
  <c r="Z29" i="36" s="1"/>
  <c r="Z30" i="36" s="1"/>
  <c r="Z31" i="36" s="1"/>
  <c r="AE43" i="37"/>
  <c r="AF43" i="37" s="1"/>
  <c r="O43" i="37"/>
  <c r="B43" i="37"/>
  <c r="M43" i="37"/>
  <c r="N43" i="37" s="1"/>
  <c r="E43" i="37"/>
  <c r="D43" i="37"/>
  <c r="L43" i="37"/>
  <c r="V43" i="37"/>
  <c r="A44" i="37"/>
  <c r="C44" i="37" s="1"/>
  <c r="L44" i="36"/>
  <c r="D44" i="36"/>
  <c r="AE44" i="36"/>
  <c r="AF44" i="36" s="1"/>
  <c r="O44" i="36"/>
  <c r="B44" i="36"/>
  <c r="E44" i="36" s="1"/>
  <c r="F44" i="36" s="1"/>
  <c r="V44" i="36"/>
  <c r="A45" i="36"/>
  <c r="C45" i="36" s="1"/>
  <c r="M44" i="36"/>
  <c r="N44" i="36" s="1"/>
  <c r="A36" i="11"/>
  <c r="C36" i="11" s="1"/>
  <c r="B35" i="11"/>
  <c r="M35" i="11"/>
  <c r="AE35" i="11"/>
  <c r="AF35" i="11" s="1"/>
  <c r="F43" i="25" s="1"/>
  <c r="D35" i="11"/>
  <c r="N35" i="11"/>
  <c r="V35" i="11"/>
  <c r="H35" i="11"/>
  <c r="O35" i="11"/>
  <c r="O36" i="11" s="1"/>
  <c r="C43" i="28"/>
  <c r="H33" i="33"/>
  <c r="C41" i="31"/>
  <c r="C42" i="25"/>
  <c r="C41" i="30"/>
  <c r="E34" i="11"/>
  <c r="F34" i="19"/>
  <c r="D41" i="31"/>
  <c r="D43" i="28"/>
  <c r="D41" i="30"/>
  <c r="D42" i="25"/>
  <c r="I33" i="33"/>
  <c r="J33" i="33"/>
  <c r="L40" i="31"/>
  <c r="G33" i="11"/>
  <c r="E42" i="25"/>
  <c r="E41" i="31"/>
  <c r="E43" i="28"/>
  <c r="E41" i="30"/>
  <c r="A36" i="19"/>
  <c r="C36" i="19" s="1"/>
  <c r="M35" i="19"/>
  <c r="N35" i="19" s="1"/>
  <c r="B35" i="19"/>
  <c r="AE35" i="19"/>
  <c r="AF35" i="19" s="1"/>
  <c r="G43" i="25" s="1"/>
  <c r="E35" i="19"/>
  <c r="M40" i="31"/>
  <c r="G22" i="31"/>
  <c r="L27" i="11"/>
  <c r="F35" i="28"/>
  <c r="I22" i="11"/>
  <c r="G24" i="19"/>
  <c r="L32" i="19"/>
  <c r="G40" i="28"/>
  <c r="D23" i="19"/>
  <c r="I31" i="28"/>
  <c r="G22" i="30"/>
  <c r="L14" i="33"/>
  <c r="H16" i="28"/>
  <c r="Y16" i="19"/>
  <c r="Z16" i="19" s="1"/>
  <c r="O36" i="19" l="1"/>
  <c r="H36" i="11"/>
  <c r="I36" i="19"/>
  <c r="V36" i="11"/>
  <c r="H44" i="37"/>
  <c r="J36" i="11"/>
  <c r="I44" i="37"/>
  <c r="H45" i="36"/>
  <c r="J36" i="19"/>
  <c r="J45" i="36"/>
  <c r="J44" i="37"/>
  <c r="I45" i="36"/>
  <c r="F34" i="11"/>
  <c r="Q23" i="19"/>
  <c r="L39" i="28"/>
  <c r="P32" i="36"/>
  <c r="P39" i="31"/>
  <c r="U28" i="36"/>
  <c r="K32" i="36"/>
  <c r="P31" i="36"/>
  <c r="Q31" i="36" s="1"/>
  <c r="Q32" i="36" s="1"/>
  <c r="P38" i="31"/>
  <c r="P32" i="37"/>
  <c r="Q39" i="31"/>
  <c r="K32" i="37"/>
  <c r="P24" i="19"/>
  <c r="O31" i="31"/>
  <c r="K24" i="19"/>
  <c r="K33" i="28" s="1"/>
  <c r="P22" i="11"/>
  <c r="Q22" i="11" s="1"/>
  <c r="N29" i="31"/>
  <c r="K22" i="11"/>
  <c r="J31" i="28" s="1"/>
  <c r="AA20" i="37"/>
  <c r="AB20" i="37" s="1"/>
  <c r="R20" i="37"/>
  <c r="H36" i="19"/>
  <c r="Q32" i="37"/>
  <c r="F43" i="37"/>
  <c r="M40" i="28"/>
  <c r="G33" i="37"/>
  <c r="X32" i="36"/>
  <c r="Y32" i="36" s="1"/>
  <c r="W32" i="36" s="1"/>
  <c r="L40" i="28"/>
  <c r="G33" i="36"/>
  <c r="M41" i="31"/>
  <c r="S29" i="36"/>
  <c r="T29" i="36" s="1"/>
  <c r="R29" i="36" s="1"/>
  <c r="J35" i="31"/>
  <c r="AD27" i="36"/>
  <c r="AC28" i="36"/>
  <c r="W22" i="37"/>
  <c r="X23" i="37" s="1"/>
  <c r="Y23" i="37" s="1"/>
  <c r="W23" i="37" s="1"/>
  <c r="X24" i="37" s="1"/>
  <c r="Y24" i="37" s="1"/>
  <c r="W24" i="37" s="1"/>
  <c r="X25" i="37" s="1"/>
  <c r="Y25" i="37" s="1"/>
  <c r="W25" i="37" s="1"/>
  <c r="Z22" i="37"/>
  <c r="AD22" i="37"/>
  <c r="AA28" i="36"/>
  <c r="L44" i="37"/>
  <c r="E44" i="37"/>
  <c r="AE44" i="37"/>
  <c r="AF44" i="37" s="1"/>
  <c r="O44" i="37"/>
  <c r="D44" i="37"/>
  <c r="B44" i="37"/>
  <c r="V44" i="37"/>
  <c r="A45" i="37"/>
  <c r="C45" i="37" s="1"/>
  <c r="M44" i="37"/>
  <c r="N44" i="37" s="1"/>
  <c r="V45" i="36"/>
  <c r="A46" i="36"/>
  <c r="C46" i="36" s="1"/>
  <c r="M45" i="36"/>
  <c r="N45" i="36" s="1"/>
  <c r="L45" i="36"/>
  <c r="AE45" i="36"/>
  <c r="AF45" i="36" s="1"/>
  <c r="O45" i="36"/>
  <c r="D45" i="36"/>
  <c r="B45" i="36"/>
  <c r="E45" i="36" s="1"/>
  <c r="F45" i="36" s="1"/>
  <c r="C42" i="31"/>
  <c r="C42" i="30"/>
  <c r="C44" i="28"/>
  <c r="H34" i="33"/>
  <c r="C43" i="25"/>
  <c r="E35" i="11"/>
  <c r="F35" i="11" s="1"/>
  <c r="A37" i="11"/>
  <c r="B36" i="11"/>
  <c r="M36" i="11"/>
  <c r="N36" i="11" s="1"/>
  <c r="AE36" i="11"/>
  <c r="AF36" i="11" s="1"/>
  <c r="F44" i="25" s="1"/>
  <c r="D36" i="11"/>
  <c r="H37" i="11"/>
  <c r="D42" i="30"/>
  <c r="D42" i="31"/>
  <c r="D43" i="25"/>
  <c r="D44" i="28"/>
  <c r="I34" i="33"/>
  <c r="J34" i="33"/>
  <c r="G34" i="11"/>
  <c r="L41" i="31"/>
  <c r="E43" i="25"/>
  <c r="E42" i="31"/>
  <c r="E42" i="30"/>
  <c r="E44" i="28"/>
  <c r="A37" i="19"/>
  <c r="C37" i="19" s="1"/>
  <c r="M36" i="19"/>
  <c r="N36" i="19" s="1"/>
  <c r="B36" i="19"/>
  <c r="AE36" i="19"/>
  <c r="AF36" i="19" s="1"/>
  <c r="G44" i="25" s="1"/>
  <c r="E36" i="19"/>
  <c r="V36" i="19"/>
  <c r="V37" i="19" s="1"/>
  <c r="F35" i="19"/>
  <c r="L33" i="19"/>
  <c r="G41" i="28"/>
  <c r="L28" i="11"/>
  <c r="F36" i="28"/>
  <c r="G25" i="19"/>
  <c r="I23" i="11"/>
  <c r="D24" i="19"/>
  <c r="I32" i="28"/>
  <c r="W16" i="19"/>
  <c r="G23" i="30"/>
  <c r="AC16" i="19"/>
  <c r="AD16" i="19" s="1"/>
  <c r="H17" i="28"/>
  <c r="I46" i="36" l="1"/>
  <c r="H46" i="36"/>
  <c r="J45" i="37"/>
  <c r="I45" i="37"/>
  <c r="J46" i="36"/>
  <c r="J37" i="11"/>
  <c r="O37" i="11"/>
  <c r="C37" i="11"/>
  <c r="J37" i="19"/>
  <c r="H45" i="37"/>
  <c r="Z32" i="36"/>
  <c r="Q24" i="19"/>
  <c r="K33" i="36"/>
  <c r="P33" i="36"/>
  <c r="P40" i="31"/>
  <c r="U29" i="36"/>
  <c r="P33" i="37"/>
  <c r="Q33" i="37" s="1"/>
  <c r="Q40" i="31"/>
  <c r="K33" i="37"/>
  <c r="K25" i="19"/>
  <c r="K23" i="11"/>
  <c r="J32" i="28" s="1"/>
  <c r="N30" i="31"/>
  <c r="P23" i="11"/>
  <c r="Q23" i="11" s="1"/>
  <c r="P25" i="19"/>
  <c r="Q25" i="19" s="1"/>
  <c r="O32" i="31"/>
  <c r="O37" i="19"/>
  <c r="H37" i="19"/>
  <c r="X26" i="37"/>
  <c r="Y26" i="37" s="1"/>
  <c r="W26" i="37" s="1"/>
  <c r="G34" i="37"/>
  <c r="M41" i="28"/>
  <c r="F44" i="37"/>
  <c r="X33" i="36"/>
  <c r="Y33" i="36" s="1"/>
  <c r="W33" i="36" s="1"/>
  <c r="G34" i="36"/>
  <c r="Q33" i="36"/>
  <c r="L41" i="28"/>
  <c r="K27" i="30"/>
  <c r="K27" i="31"/>
  <c r="S21" i="37"/>
  <c r="T21" i="37" s="1"/>
  <c r="Z23" i="37"/>
  <c r="Z24" i="37" s="1"/>
  <c r="Z25" i="37" s="1"/>
  <c r="Z26" i="37" s="1"/>
  <c r="AC23" i="37"/>
  <c r="AC24" i="37" s="1"/>
  <c r="AD28" i="36"/>
  <c r="AC29" i="36"/>
  <c r="S30" i="36"/>
  <c r="T30" i="36" s="1"/>
  <c r="R30" i="36" s="1"/>
  <c r="J36" i="31"/>
  <c r="J35" i="30"/>
  <c r="AB28" i="36"/>
  <c r="AA29" i="36"/>
  <c r="V45" i="37"/>
  <c r="M45" i="37"/>
  <c r="N45" i="37" s="1"/>
  <c r="A46" i="37"/>
  <c r="C46" i="37" s="1"/>
  <c r="L45" i="37"/>
  <c r="D45" i="37"/>
  <c r="O45" i="37"/>
  <c r="B45" i="37"/>
  <c r="AE45" i="37"/>
  <c r="AF45" i="37" s="1"/>
  <c r="AE46" i="36"/>
  <c r="AF46" i="36" s="1"/>
  <c r="O46" i="36"/>
  <c r="B46" i="36"/>
  <c r="V46" i="36"/>
  <c r="A47" i="36"/>
  <c r="C47" i="36" s="1"/>
  <c r="M46" i="36"/>
  <c r="N46" i="36" s="1"/>
  <c r="D46" i="36"/>
  <c r="L46" i="36"/>
  <c r="V37" i="11"/>
  <c r="H35" i="33"/>
  <c r="C43" i="30"/>
  <c r="C44" i="25"/>
  <c r="C45" i="28"/>
  <c r="C43" i="31"/>
  <c r="E36" i="11"/>
  <c r="F36" i="11" s="1"/>
  <c r="A38" i="11"/>
  <c r="C38" i="11" s="1"/>
  <c r="B37" i="11"/>
  <c r="M37" i="11"/>
  <c r="N37" i="11" s="1"/>
  <c r="AE37" i="11"/>
  <c r="AF37" i="11" s="1"/>
  <c r="F45" i="25" s="1"/>
  <c r="D37" i="11"/>
  <c r="D44" i="25"/>
  <c r="D43" i="30"/>
  <c r="D45" i="28"/>
  <c r="D43" i="31"/>
  <c r="I35" i="33"/>
  <c r="J35" i="33"/>
  <c r="L42" i="31"/>
  <c r="G35" i="11"/>
  <c r="E45" i="28"/>
  <c r="E44" i="25"/>
  <c r="E43" i="30"/>
  <c r="E43" i="31"/>
  <c r="M42" i="31"/>
  <c r="F36" i="19"/>
  <c r="A38" i="19"/>
  <c r="C38" i="19" s="1"/>
  <c r="M37" i="19"/>
  <c r="N37" i="19" s="1"/>
  <c r="B37" i="19"/>
  <c r="AE37" i="19"/>
  <c r="AF37" i="19" s="1"/>
  <c r="G45" i="25" s="1"/>
  <c r="E37" i="19"/>
  <c r="I37" i="19"/>
  <c r="I38" i="19" s="1"/>
  <c r="L29" i="11"/>
  <c r="F37" i="28"/>
  <c r="I24" i="11"/>
  <c r="G26" i="19"/>
  <c r="L34" i="19"/>
  <c r="G42" i="28"/>
  <c r="D25" i="19"/>
  <c r="I33" i="28"/>
  <c r="X17" i="19"/>
  <c r="Y17" i="19" s="1"/>
  <c r="Z17" i="19" s="1"/>
  <c r="G23" i="31"/>
  <c r="L15" i="33"/>
  <c r="H18" i="28"/>
  <c r="I46" i="37" l="1"/>
  <c r="J46" i="37"/>
  <c r="H46" i="37"/>
  <c r="J38" i="11"/>
  <c r="H47" i="36"/>
  <c r="J38" i="19"/>
  <c r="J47" i="36"/>
  <c r="I47" i="36"/>
  <c r="K34" i="36"/>
  <c r="P34" i="36"/>
  <c r="P41" i="31"/>
  <c r="U30" i="36"/>
  <c r="K34" i="37"/>
  <c r="P34" i="37"/>
  <c r="Q34" i="37" s="1"/>
  <c r="Q41" i="31"/>
  <c r="R21" i="37"/>
  <c r="U21" i="37"/>
  <c r="P26" i="19"/>
  <c r="Q26" i="19" s="1"/>
  <c r="O33" i="31"/>
  <c r="K34" i="28"/>
  <c r="K26" i="19"/>
  <c r="K35" i="28" s="1"/>
  <c r="P24" i="11"/>
  <c r="Q24" i="11" s="1"/>
  <c r="N31" i="31"/>
  <c r="K24" i="11"/>
  <c r="J33" i="28" s="1"/>
  <c r="H38" i="19"/>
  <c r="X27" i="37"/>
  <c r="Y27" i="37" s="1"/>
  <c r="W27" i="37" s="1"/>
  <c r="E45" i="37"/>
  <c r="F45" i="37" s="1"/>
  <c r="M42" i="28"/>
  <c r="G35" i="37"/>
  <c r="X34" i="36"/>
  <c r="Y34" i="36" s="1"/>
  <c r="W34" i="36" s="1"/>
  <c r="Z33" i="36"/>
  <c r="E46" i="36"/>
  <c r="F46" i="36" s="1"/>
  <c r="L42" i="28"/>
  <c r="J37" i="31"/>
  <c r="S31" i="36"/>
  <c r="T31" i="36" s="1"/>
  <c r="R31" i="36" s="1"/>
  <c r="G35" i="36"/>
  <c r="Q34" i="36"/>
  <c r="M43" i="31"/>
  <c r="AD23" i="37"/>
  <c r="AA21" i="37"/>
  <c r="AD29" i="36"/>
  <c r="AC30" i="36"/>
  <c r="AD24" i="37"/>
  <c r="AC25" i="37"/>
  <c r="AB29" i="36"/>
  <c r="AA30" i="36"/>
  <c r="J36" i="30"/>
  <c r="AE46" i="37"/>
  <c r="AF46" i="37" s="1"/>
  <c r="O46" i="37"/>
  <c r="B46" i="37"/>
  <c r="A47" i="37"/>
  <c r="C47" i="37" s="1"/>
  <c r="V46" i="37"/>
  <c r="L46" i="37"/>
  <c r="E46" i="37"/>
  <c r="M46" i="37"/>
  <c r="N46" i="37" s="1"/>
  <c r="L47" i="36"/>
  <c r="AE47" i="36"/>
  <c r="AF47" i="36" s="1"/>
  <c r="O47" i="36"/>
  <c r="B47" i="36"/>
  <c r="E47" i="36" s="1"/>
  <c r="F47" i="36" s="1"/>
  <c r="V47" i="36"/>
  <c r="D47" i="36"/>
  <c r="A48" i="36"/>
  <c r="C48" i="36" s="1"/>
  <c r="M47" i="36"/>
  <c r="N47" i="36" s="1"/>
  <c r="A39" i="11"/>
  <c r="C39" i="11" s="1"/>
  <c r="B38" i="11"/>
  <c r="M38" i="11"/>
  <c r="N38" i="11" s="1"/>
  <c r="AE38" i="11"/>
  <c r="AF38" i="11" s="1"/>
  <c r="F46" i="25" s="1"/>
  <c r="H36" i="33"/>
  <c r="C44" i="31"/>
  <c r="C45" i="25"/>
  <c r="C44" i="30"/>
  <c r="C46" i="28"/>
  <c r="E37" i="11"/>
  <c r="F37" i="11" s="1"/>
  <c r="V38" i="11"/>
  <c r="D38" i="11"/>
  <c r="H38" i="11"/>
  <c r="H39" i="11" s="1"/>
  <c r="O38" i="11"/>
  <c r="D46" i="28"/>
  <c r="D45" i="25"/>
  <c r="D44" i="31"/>
  <c r="D44" i="30"/>
  <c r="I36" i="33"/>
  <c r="J36" i="33"/>
  <c r="G36" i="11"/>
  <c r="L43" i="31"/>
  <c r="A39" i="19"/>
  <c r="C39" i="19" s="1"/>
  <c r="B38" i="19"/>
  <c r="M38" i="19"/>
  <c r="N38" i="19" s="1"/>
  <c r="AE38" i="19"/>
  <c r="AF38" i="19" s="1"/>
  <c r="G46" i="25" s="1"/>
  <c r="E38" i="19"/>
  <c r="O38" i="19"/>
  <c r="O39" i="19" s="1"/>
  <c r="E45" i="25"/>
  <c r="E44" i="30"/>
  <c r="E46" i="28"/>
  <c r="E44" i="31"/>
  <c r="F37" i="19"/>
  <c r="V38" i="19"/>
  <c r="V39" i="19" s="1"/>
  <c r="G27" i="19"/>
  <c r="L35" i="19"/>
  <c r="G43" i="28"/>
  <c r="L30" i="11"/>
  <c r="F38" i="28"/>
  <c r="I25" i="11"/>
  <c r="D26" i="19"/>
  <c r="I34" i="28"/>
  <c r="W17" i="19"/>
  <c r="AC17" i="19"/>
  <c r="AD17" i="19" s="1"/>
  <c r="L16" i="33" s="1"/>
  <c r="G24" i="30"/>
  <c r="H19" i="28"/>
  <c r="V39" i="11" l="1"/>
  <c r="O39" i="11"/>
  <c r="I39" i="19"/>
  <c r="I48" i="36"/>
  <c r="J39" i="11"/>
  <c r="J48" i="36"/>
  <c r="H47" i="37"/>
  <c r="J39" i="19"/>
  <c r="J47" i="37"/>
  <c r="H48" i="36"/>
  <c r="I47" i="37"/>
  <c r="U31" i="36"/>
  <c r="K35" i="36"/>
  <c r="P35" i="36"/>
  <c r="Q35" i="36" s="1"/>
  <c r="P42" i="31"/>
  <c r="Z27" i="37"/>
  <c r="P35" i="37"/>
  <c r="Q42" i="31"/>
  <c r="K35" i="37"/>
  <c r="P27" i="19"/>
  <c r="O34" i="31"/>
  <c r="K27" i="19"/>
  <c r="K36" i="28" s="1"/>
  <c r="P25" i="11"/>
  <c r="Q25" i="11" s="1"/>
  <c r="N32" i="31"/>
  <c r="K25" i="11"/>
  <c r="H39" i="19"/>
  <c r="X28" i="37"/>
  <c r="Y28" i="37" s="1"/>
  <c r="W28" i="37" s="1"/>
  <c r="AD25" i="37"/>
  <c r="AC26" i="37"/>
  <c r="G36" i="37"/>
  <c r="Q35" i="37"/>
  <c r="F46" i="37"/>
  <c r="M43" i="28"/>
  <c r="D46" i="37"/>
  <c r="D47" i="37" s="1"/>
  <c r="X35" i="36"/>
  <c r="Y35" i="36" s="1"/>
  <c r="W35" i="36" s="1"/>
  <c r="G36" i="36"/>
  <c r="L43" i="28"/>
  <c r="AB30" i="36"/>
  <c r="AA31" i="36"/>
  <c r="AD30" i="36"/>
  <c r="AC31" i="36"/>
  <c r="J38" i="31"/>
  <c r="S32" i="36"/>
  <c r="T32" i="36" s="1"/>
  <c r="R32" i="36" s="1"/>
  <c r="J37" i="30"/>
  <c r="Z34" i="36"/>
  <c r="K28" i="30"/>
  <c r="AB21" i="37"/>
  <c r="K28" i="31"/>
  <c r="S22" i="37"/>
  <c r="T22" i="37" s="1"/>
  <c r="R22" i="37" s="1"/>
  <c r="L47" i="37"/>
  <c r="M47" i="37"/>
  <c r="N47" i="37" s="1"/>
  <c r="V47" i="37"/>
  <c r="O47" i="37"/>
  <c r="E47" i="37"/>
  <c r="A48" i="37"/>
  <c r="C48" i="37" s="1"/>
  <c r="AE47" i="37"/>
  <c r="AF47" i="37" s="1"/>
  <c r="B47" i="37"/>
  <c r="F47" i="37" s="1"/>
  <c r="A49" i="36"/>
  <c r="C49" i="36" s="1"/>
  <c r="M48" i="36"/>
  <c r="N48" i="36" s="1"/>
  <c r="L48" i="36"/>
  <c r="D48" i="36"/>
  <c r="AE48" i="36"/>
  <c r="AF48" i="36" s="1"/>
  <c r="O48" i="36"/>
  <c r="B48" i="36"/>
  <c r="E48" i="36" s="1"/>
  <c r="F48" i="36" s="1"/>
  <c r="V48" i="36"/>
  <c r="C47" i="28"/>
  <c r="C45" i="31"/>
  <c r="C46" i="25"/>
  <c r="C45" i="30"/>
  <c r="H37" i="33"/>
  <c r="E38" i="11"/>
  <c r="F38" i="11" s="1"/>
  <c r="A40" i="11"/>
  <c r="B39" i="11"/>
  <c r="M39" i="11"/>
  <c r="N39" i="11" s="1"/>
  <c r="AE39" i="11"/>
  <c r="AF39" i="11" s="1"/>
  <c r="F47" i="25" s="1"/>
  <c r="D39" i="11"/>
  <c r="D45" i="31"/>
  <c r="D47" i="28"/>
  <c r="D46" i="25"/>
  <c r="D45" i="30"/>
  <c r="F38" i="19"/>
  <c r="I37" i="33"/>
  <c r="J37" i="33"/>
  <c r="G37" i="11"/>
  <c r="L44" i="31"/>
  <c r="E45" i="30"/>
  <c r="E46" i="25"/>
  <c r="E45" i="31"/>
  <c r="E47" i="28"/>
  <c r="A40" i="19"/>
  <c r="C40" i="19" s="1"/>
  <c r="M39" i="19"/>
  <c r="N39" i="19" s="1"/>
  <c r="B39" i="19"/>
  <c r="AE39" i="19"/>
  <c r="AF39" i="19" s="1"/>
  <c r="G47" i="25" s="1"/>
  <c r="E39" i="19"/>
  <c r="V40" i="19"/>
  <c r="M44" i="31"/>
  <c r="G44" i="28"/>
  <c r="L36" i="19"/>
  <c r="G28" i="19"/>
  <c r="Q27" i="19"/>
  <c r="I26" i="11"/>
  <c r="L31" i="11"/>
  <c r="F39" i="28"/>
  <c r="D27" i="19"/>
  <c r="I35" i="28"/>
  <c r="X18" i="19"/>
  <c r="Y18" i="19" s="1"/>
  <c r="G24" i="31"/>
  <c r="H20" i="28"/>
  <c r="H49" i="36" l="1"/>
  <c r="J49" i="36"/>
  <c r="J48" i="37"/>
  <c r="J40" i="11"/>
  <c r="O40" i="19"/>
  <c r="H40" i="11"/>
  <c r="C40" i="11"/>
  <c r="J40" i="19"/>
  <c r="I49" i="36"/>
  <c r="I48" i="37"/>
  <c r="H48" i="37"/>
  <c r="K36" i="36"/>
  <c r="P36" i="36"/>
  <c r="Q36" i="36" s="1"/>
  <c r="P43" i="31"/>
  <c r="U32" i="36"/>
  <c r="P26" i="11"/>
  <c r="N33" i="31"/>
  <c r="J34" i="28"/>
  <c r="K26" i="11"/>
  <c r="K36" i="37"/>
  <c r="P36" i="37"/>
  <c r="Q43" i="31"/>
  <c r="U22" i="37"/>
  <c r="P28" i="19"/>
  <c r="Q28" i="19" s="1"/>
  <c r="O35" i="31"/>
  <c r="K28" i="19"/>
  <c r="K37" i="28" s="1"/>
  <c r="Z28" i="37"/>
  <c r="I40" i="19"/>
  <c r="H40" i="19"/>
  <c r="X29" i="37"/>
  <c r="Y29" i="37" s="1"/>
  <c r="W29" i="37" s="1"/>
  <c r="M44" i="28"/>
  <c r="G37" i="37"/>
  <c r="Q36" i="37"/>
  <c r="AD26" i="37"/>
  <c r="AC27" i="37"/>
  <c r="J39" i="31"/>
  <c r="S33" i="36"/>
  <c r="T33" i="36" s="1"/>
  <c r="R33" i="36" s="1"/>
  <c r="X36" i="36"/>
  <c r="Y36" i="36" s="1"/>
  <c r="W36" i="36" s="1"/>
  <c r="J38" i="30"/>
  <c r="AB31" i="36"/>
  <c r="AA32" i="36"/>
  <c r="Z35" i="36"/>
  <c r="AD31" i="36"/>
  <c r="AC32" i="36"/>
  <c r="L44" i="28"/>
  <c r="G37" i="36"/>
  <c r="AA22" i="37"/>
  <c r="K29" i="31"/>
  <c r="S23" i="37"/>
  <c r="T23" i="37" s="1"/>
  <c r="R23" i="37" s="1"/>
  <c r="A49" i="37"/>
  <c r="C49" i="37" s="1"/>
  <c r="M48" i="37"/>
  <c r="N48" i="37" s="1"/>
  <c r="B48" i="37"/>
  <c r="L48" i="37"/>
  <c r="D48" i="37"/>
  <c r="AE48" i="37"/>
  <c r="AF48" i="37" s="1"/>
  <c r="O48" i="37"/>
  <c r="V48" i="37"/>
  <c r="V49" i="36"/>
  <c r="A50" i="36"/>
  <c r="C50" i="36" s="1"/>
  <c r="M49" i="36"/>
  <c r="N49" i="36" s="1"/>
  <c r="L49" i="36"/>
  <c r="D49" i="36"/>
  <c r="B49" i="36"/>
  <c r="E49" i="36" s="1"/>
  <c r="F49" i="36" s="1"/>
  <c r="AE49" i="36"/>
  <c r="AF49" i="36" s="1"/>
  <c r="O49" i="36"/>
  <c r="V40" i="11"/>
  <c r="O40" i="11"/>
  <c r="A41" i="11"/>
  <c r="C41" i="11" s="1"/>
  <c r="B40" i="11"/>
  <c r="M40" i="11"/>
  <c r="N40" i="11" s="1"/>
  <c r="AE40" i="11"/>
  <c r="AF40" i="11" s="1"/>
  <c r="F48" i="25" s="1"/>
  <c r="C46" i="31"/>
  <c r="C48" i="28"/>
  <c r="H38" i="33"/>
  <c r="C47" i="25"/>
  <c r="C46" i="30"/>
  <c r="E39" i="11"/>
  <c r="F39" i="11" s="1"/>
  <c r="D40" i="11"/>
  <c r="D46" i="30"/>
  <c r="D46" i="31"/>
  <c r="D48" i="28"/>
  <c r="D47" i="25"/>
  <c r="I38" i="33"/>
  <c r="J38" i="33"/>
  <c r="J35" i="28"/>
  <c r="Q26" i="11"/>
  <c r="L45" i="31"/>
  <c r="G38" i="11"/>
  <c r="M45" i="31"/>
  <c r="E47" i="25"/>
  <c r="E48" i="28"/>
  <c r="E46" i="30"/>
  <c r="E46" i="31"/>
  <c r="A41" i="19"/>
  <c r="O41" i="19" s="1"/>
  <c r="M40" i="19"/>
  <c r="N40" i="19" s="1"/>
  <c r="B40" i="19"/>
  <c r="AE40" i="19"/>
  <c r="AF40" i="19" s="1"/>
  <c r="G48" i="25" s="1"/>
  <c r="E40" i="19"/>
  <c r="F39" i="19"/>
  <c r="L37" i="19"/>
  <c r="G45" i="28"/>
  <c r="G29" i="19"/>
  <c r="I27" i="11"/>
  <c r="L32" i="11"/>
  <c r="F40" i="28"/>
  <c r="W18" i="19"/>
  <c r="Z18" i="19"/>
  <c r="D28" i="19"/>
  <c r="I36" i="28"/>
  <c r="AC18" i="19"/>
  <c r="AD18" i="19" s="1"/>
  <c r="H21" i="28"/>
  <c r="J41" i="19" l="1"/>
  <c r="J41" i="11"/>
  <c r="H49" i="37"/>
  <c r="J49" i="37"/>
  <c r="I49" i="37"/>
  <c r="J50" i="36"/>
  <c r="I50" i="36"/>
  <c r="H50" i="36"/>
  <c r="P37" i="36"/>
  <c r="P44" i="31"/>
  <c r="K27" i="11"/>
  <c r="U33" i="36"/>
  <c r="K37" i="36"/>
  <c r="P27" i="11"/>
  <c r="N34" i="31"/>
  <c r="P37" i="37"/>
  <c r="Q37" i="37" s="1"/>
  <c r="Q44" i="31"/>
  <c r="K37" i="37"/>
  <c r="U23" i="37"/>
  <c r="Z29" i="37"/>
  <c r="K29" i="19"/>
  <c r="K38" i="28" s="1"/>
  <c r="P29" i="19"/>
  <c r="Q29" i="19" s="1"/>
  <c r="O36" i="31"/>
  <c r="H41" i="19"/>
  <c r="I41" i="19"/>
  <c r="C41" i="19"/>
  <c r="AD27" i="37"/>
  <c r="AC28" i="37"/>
  <c r="G38" i="37"/>
  <c r="E48" i="37"/>
  <c r="F48" i="37" s="1"/>
  <c r="M45" i="28"/>
  <c r="X30" i="37"/>
  <c r="Y30" i="37" s="1"/>
  <c r="X37" i="36"/>
  <c r="Y37" i="36" s="1"/>
  <c r="W37" i="36" s="1"/>
  <c r="J40" i="31"/>
  <c r="S34" i="36"/>
  <c r="T34" i="36" s="1"/>
  <c r="R34" i="36" s="1"/>
  <c r="AD32" i="36"/>
  <c r="AC33" i="36"/>
  <c r="AB32" i="36"/>
  <c r="AA33" i="36"/>
  <c r="G38" i="36"/>
  <c r="Q37" i="36"/>
  <c r="L45" i="28"/>
  <c r="Z36" i="36"/>
  <c r="Z37" i="36" s="1"/>
  <c r="J39" i="30"/>
  <c r="M46" i="31"/>
  <c r="K29" i="30"/>
  <c r="S24" i="37"/>
  <c r="T24" i="37" s="1"/>
  <c r="R24" i="37" s="1"/>
  <c r="K30" i="31"/>
  <c r="AB22" i="37"/>
  <c r="AA23" i="37"/>
  <c r="V49" i="37"/>
  <c r="E49" i="37"/>
  <c r="AE49" i="37"/>
  <c r="AF49" i="37" s="1"/>
  <c r="O49" i="37"/>
  <c r="B49" i="37"/>
  <c r="M49" i="37"/>
  <c r="N49" i="37" s="1"/>
  <c r="L49" i="37"/>
  <c r="A50" i="37"/>
  <c r="C50" i="37" s="1"/>
  <c r="D49" i="37"/>
  <c r="AE50" i="36"/>
  <c r="AF50" i="36" s="1"/>
  <c r="O50" i="36"/>
  <c r="B50" i="36"/>
  <c r="E50" i="36" s="1"/>
  <c r="F50" i="36" s="1"/>
  <c r="V50" i="36"/>
  <c r="A51" i="36"/>
  <c r="C51" i="36" s="1"/>
  <c r="M50" i="36"/>
  <c r="N50" i="36" s="1"/>
  <c r="D50" i="36"/>
  <c r="L50" i="36"/>
  <c r="O41" i="11"/>
  <c r="V41" i="11"/>
  <c r="H39" i="33"/>
  <c r="C47" i="30"/>
  <c r="C47" i="31"/>
  <c r="C49" i="28"/>
  <c r="C48" i="25"/>
  <c r="E40" i="11"/>
  <c r="F40" i="11" s="1"/>
  <c r="A42" i="11"/>
  <c r="C42" i="11" s="1"/>
  <c r="B41" i="11"/>
  <c r="M41" i="11"/>
  <c r="N41" i="11" s="1"/>
  <c r="D41" i="11"/>
  <c r="AE41" i="11"/>
  <c r="AF41" i="11" s="1"/>
  <c r="F49" i="25" s="1"/>
  <c r="H41" i="11"/>
  <c r="D48" i="25"/>
  <c r="D47" i="30"/>
  <c r="D47" i="31"/>
  <c r="D49" i="28"/>
  <c r="I39" i="33"/>
  <c r="J39" i="33"/>
  <c r="G39" i="11"/>
  <c r="Q27" i="11"/>
  <c r="L46" i="31"/>
  <c r="J36" i="28"/>
  <c r="E48" i="25"/>
  <c r="E47" i="31"/>
  <c r="E49" i="28"/>
  <c r="E47" i="30"/>
  <c r="A42" i="19"/>
  <c r="AE41" i="19"/>
  <c r="AF41" i="19" s="1"/>
  <c r="G49" i="25" s="1"/>
  <c r="B41" i="19"/>
  <c r="E41" i="19"/>
  <c r="M41" i="19"/>
  <c r="N41" i="19" s="1"/>
  <c r="F40" i="19"/>
  <c r="V41" i="19"/>
  <c r="L38" i="19"/>
  <c r="G46" i="28"/>
  <c r="G30" i="19"/>
  <c r="I28" i="11"/>
  <c r="L33" i="11"/>
  <c r="F41" i="28"/>
  <c r="D29" i="19"/>
  <c r="I37" i="28"/>
  <c r="X19" i="19"/>
  <c r="Y19" i="19" s="1"/>
  <c r="Z19" i="19" s="1"/>
  <c r="G25" i="31"/>
  <c r="G25" i="30"/>
  <c r="L17" i="33"/>
  <c r="H22" i="28"/>
  <c r="V42" i="19" l="1"/>
  <c r="H51" i="36"/>
  <c r="J50" i="37"/>
  <c r="I51" i="36"/>
  <c r="H50" i="37"/>
  <c r="J51" i="36"/>
  <c r="J42" i="11"/>
  <c r="I50" i="37"/>
  <c r="J42" i="19"/>
  <c r="K28" i="11"/>
  <c r="P38" i="36"/>
  <c r="P45" i="31"/>
  <c r="K38" i="36"/>
  <c r="P28" i="11"/>
  <c r="N35" i="31"/>
  <c r="U34" i="36"/>
  <c r="K38" i="37"/>
  <c r="P38" i="37"/>
  <c r="Q45" i="31"/>
  <c r="U24" i="37"/>
  <c r="Z30" i="37"/>
  <c r="W30" i="37"/>
  <c r="P30" i="19"/>
  <c r="Q30" i="19" s="1"/>
  <c r="O37" i="31"/>
  <c r="K30" i="19"/>
  <c r="O42" i="19"/>
  <c r="C42" i="19"/>
  <c r="E42" i="19" s="1"/>
  <c r="H42" i="19"/>
  <c r="G39" i="37"/>
  <c r="Q38" i="37"/>
  <c r="F49" i="37"/>
  <c r="M46" i="28"/>
  <c r="AD28" i="37"/>
  <c r="AC29" i="37"/>
  <c r="X31" i="37"/>
  <c r="Y31" i="37" s="1"/>
  <c r="Z31" i="37" s="1"/>
  <c r="W38" i="36"/>
  <c r="X38" i="36"/>
  <c r="Y38" i="36" s="1"/>
  <c r="Z38" i="36" s="1"/>
  <c r="L46" i="28"/>
  <c r="AD33" i="36"/>
  <c r="AC34" i="36"/>
  <c r="J41" i="31"/>
  <c r="S35" i="36"/>
  <c r="T35" i="36" s="1"/>
  <c r="R35" i="36" s="1"/>
  <c r="J40" i="30"/>
  <c r="G39" i="36"/>
  <c r="Q38" i="36"/>
  <c r="AB33" i="36"/>
  <c r="AA34" i="36"/>
  <c r="S25" i="37"/>
  <c r="T25" i="37" s="1"/>
  <c r="R25" i="37" s="1"/>
  <c r="K31" i="31"/>
  <c r="AB23" i="37"/>
  <c r="AA24" i="37"/>
  <c r="K30" i="30"/>
  <c r="AE50" i="37"/>
  <c r="AF50" i="37" s="1"/>
  <c r="O50" i="37"/>
  <c r="B50" i="37"/>
  <c r="V50" i="37"/>
  <c r="M50" i="37"/>
  <c r="N50" i="37" s="1"/>
  <c r="L50" i="37"/>
  <c r="E50" i="37"/>
  <c r="A51" i="37"/>
  <c r="C51" i="37" s="1"/>
  <c r="L51" i="36"/>
  <c r="AE51" i="36"/>
  <c r="AF51" i="36" s="1"/>
  <c r="O51" i="36"/>
  <c r="B51" i="36"/>
  <c r="E51" i="36" s="1"/>
  <c r="F51" i="36" s="1"/>
  <c r="V51" i="36"/>
  <c r="D51" i="36"/>
  <c r="A52" i="36"/>
  <c r="C52" i="36" s="1"/>
  <c r="M51" i="36"/>
  <c r="N51" i="36" s="1"/>
  <c r="A43" i="11"/>
  <c r="C43" i="11" s="1"/>
  <c r="B42" i="11"/>
  <c r="M42" i="11"/>
  <c r="D42" i="11"/>
  <c r="AE42" i="11"/>
  <c r="AF42" i="11" s="1"/>
  <c r="F50" i="25" s="1"/>
  <c r="N42" i="11"/>
  <c r="O42" i="11"/>
  <c r="O43" i="11" s="1"/>
  <c r="H40" i="33"/>
  <c r="C48" i="30"/>
  <c r="C50" i="28"/>
  <c r="C48" i="31"/>
  <c r="C49" i="25"/>
  <c r="E41" i="11"/>
  <c r="F41" i="11" s="1"/>
  <c r="H42" i="11"/>
  <c r="V42" i="11"/>
  <c r="V43" i="11" s="1"/>
  <c r="D50" i="28"/>
  <c r="D49" i="25"/>
  <c r="D48" i="30"/>
  <c r="D48" i="31"/>
  <c r="I40" i="33"/>
  <c r="J40" i="33"/>
  <c r="L47" i="31"/>
  <c r="G40" i="11"/>
  <c r="Q28" i="11"/>
  <c r="J37" i="28"/>
  <c r="M47" i="31"/>
  <c r="F41" i="19"/>
  <c r="E50" i="28"/>
  <c r="E48" i="31"/>
  <c r="E49" i="25"/>
  <c r="E48" i="30"/>
  <c r="A43" i="19"/>
  <c r="B42" i="19"/>
  <c r="M42" i="19"/>
  <c r="N42" i="19" s="1"/>
  <c r="AE42" i="19"/>
  <c r="AF42" i="19" s="1"/>
  <c r="G50" i="25" s="1"/>
  <c r="I42" i="19"/>
  <c r="G31" i="19"/>
  <c r="L39" i="19"/>
  <c r="G47" i="28"/>
  <c r="I29" i="11"/>
  <c r="L34" i="11"/>
  <c r="F42" i="28"/>
  <c r="D30" i="19"/>
  <c r="I38" i="28"/>
  <c r="AC19" i="19"/>
  <c r="AD19" i="19" s="1"/>
  <c r="L18" i="33" s="1"/>
  <c r="W19" i="19"/>
  <c r="H23" i="28"/>
  <c r="J43" i="19" l="1"/>
  <c r="H51" i="37"/>
  <c r="I51" i="37"/>
  <c r="I52" i="36"/>
  <c r="J43" i="11"/>
  <c r="J51" i="37"/>
  <c r="H43" i="11"/>
  <c r="J52" i="36"/>
  <c r="H52" i="36"/>
  <c r="K29" i="11"/>
  <c r="K39" i="36"/>
  <c r="U35" i="36"/>
  <c r="N36" i="31"/>
  <c r="P29" i="11"/>
  <c r="P39" i="36"/>
  <c r="Q39" i="36" s="1"/>
  <c r="P46" i="31"/>
  <c r="P39" i="37"/>
  <c r="Q39" i="37" s="1"/>
  <c r="Q46" i="31"/>
  <c r="K39" i="37"/>
  <c r="K39" i="28"/>
  <c r="K31" i="19"/>
  <c r="K40" i="28" s="1"/>
  <c r="P31" i="19"/>
  <c r="O38" i="31"/>
  <c r="U25" i="37"/>
  <c r="H43" i="19"/>
  <c r="V43" i="19"/>
  <c r="C43" i="19"/>
  <c r="M47" i="28"/>
  <c r="D50" i="37"/>
  <c r="W31" i="37"/>
  <c r="G40" i="37"/>
  <c r="F50" i="37"/>
  <c r="K32" i="31"/>
  <c r="S26" i="37"/>
  <c r="T26" i="37" s="1"/>
  <c r="R26" i="37" s="1"/>
  <c r="AD29" i="37"/>
  <c r="AC30" i="37"/>
  <c r="J42" i="31"/>
  <c r="S36" i="36"/>
  <c r="T36" i="36" s="1"/>
  <c r="R36" i="36" s="1"/>
  <c r="J41" i="30"/>
  <c r="AD34" i="36"/>
  <c r="AC35" i="36"/>
  <c r="AB34" i="36"/>
  <c r="AA35" i="36"/>
  <c r="G40" i="36"/>
  <c r="L47" i="28"/>
  <c r="X39" i="36"/>
  <c r="Y39" i="36" s="1"/>
  <c r="Z39" i="36" s="1"/>
  <c r="AB24" i="37"/>
  <c r="AA25" i="37"/>
  <c r="K31" i="30"/>
  <c r="L51" i="37"/>
  <c r="A52" i="37"/>
  <c r="C52" i="37" s="1"/>
  <c r="V51" i="37"/>
  <c r="E51" i="37"/>
  <c r="AE51" i="37"/>
  <c r="AF51" i="37" s="1"/>
  <c r="M51" i="37"/>
  <c r="N51" i="37" s="1"/>
  <c r="D51" i="37"/>
  <c r="B51" i="37"/>
  <c r="O51" i="37"/>
  <c r="A53" i="36"/>
  <c r="C53" i="36" s="1"/>
  <c r="M52" i="36"/>
  <c r="N52" i="36" s="1"/>
  <c r="L52" i="36"/>
  <c r="D52" i="36"/>
  <c r="AE52" i="36"/>
  <c r="AF52" i="36" s="1"/>
  <c r="O52" i="36"/>
  <c r="B52" i="36"/>
  <c r="E52" i="36" s="1"/>
  <c r="F52" i="36" s="1"/>
  <c r="V52" i="36"/>
  <c r="C51" i="28"/>
  <c r="C49" i="31"/>
  <c r="C50" i="25"/>
  <c r="C49" i="30"/>
  <c r="H41" i="33"/>
  <c r="E42" i="11"/>
  <c r="F42" i="11" s="1"/>
  <c r="A44" i="11"/>
  <c r="C44" i="11" s="1"/>
  <c r="B43" i="11"/>
  <c r="AE43" i="11"/>
  <c r="AF43" i="11" s="1"/>
  <c r="F51" i="25" s="1"/>
  <c r="M43" i="11"/>
  <c r="D43" i="11"/>
  <c r="N43" i="11"/>
  <c r="D49" i="31"/>
  <c r="D51" i="28"/>
  <c r="D49" i="30"/>
  <c r="D50" i="25"/>
  <c r="I41" i="33"/>
  <c r="J41" i="33"/>
  <c r="J38" i="28"/>
  <c r="Q29" i="11"/>
  <c r="G41" i="11"/>
  <c r="I43" i="19"/>
  <c r="M48" i="31"/>
  <c r="L48" i="31"/>
  <c r="E51" i="28"/>
  <c r="E49" i="31"/>
  <c r="E49" i="30"/>
  <c r="E50" i="25"/>
  <c r="F42" i="19"/>
  <c r="A44" i="19"/>
  <c r="C44" i="19" s="1"/>
  <c r="M43" i="19"/>
  <c r="N43" i="19" s="1"/>
  <c r="E43" i="19"/>
  <c r="B43" i="19"/>
  <c r="AE43" i="19"/>
  <c r="AF43" i="19" s="1"/>
  <c r="G51" i="25" s="1"/>
  <c r="O43" i="19"/>
  <c r="L40" i="19"/>
  <c r="G48" i="28"/>
  <c r="G32" i="19"/>
  <c r="Q31" i="19"/>
  <c r="I30" i="11"/>
  <c r="L35" i="11"/>
  <c r="F43" i="28"/>
  <c r="I39" i="28"/>
  <c r="D31" i="19"/>
  <c r="X20" i="19"/>
  <c r="Y20" i="19" s="1"/>
  <c r="Z20" i="19" s="1"/>
  <c r="G26" i="31"/>
  <c r="G26" i="30"/>
  <c r="H24" i="28"/>
  <c r="O44" i="19" l="1"/>
  <c r="J53" i="36"/>
  <c r="I53" i="36"/>
  <c r="I52" i="37"/>
  <c r="J52" i="37"/>
  <c r="H52" i="37"/>
  <c r="H53" i="36"/>
  <c r="J44" i="11"/>
  <c r="J44" i="19"/>
  <c r="U36" i="36"/>
  <c r="N37" i="31"/>
  <c r="P30" i="11"/>
  <c r="K40" i="36"/>
  <c r="P40" i="36"/>
  <c r="P47" i="31"/>
  <c r="K30" i="11"/>
  <c r="J39" i="28" s="1"/>
  <c r="P40" i="37"/>
  <c r="Q47" i="31"/>
  <c r="K40" i="37"/>
  <c r="K32" i="19"/>
  <c r="K41" i="28" s="1"/>
  <c r="P32" i="19"/>
  <c r="O39" i="31"/>
  <c r="U26" i="37"/>
  <c r="H44" i="19"/>
  <c r="K33" i="31"/>
  <c r="S27" i="37"/>
  <c r="T27" i="37" s="1"/>
  <c r="R27" i="37" s="1"/>
  <c r="M48" i="28"/>
  <c r="AD30" i="37"/>
  <c r="AC31" i="37"/>
  <c r="G41" i="37"/>
  <c r="Q40" i="37"/>
  <c r="F51" i="37"/>
  <c r="K32" i="30"/>
  <c r="X32" i="37"/>
  <c r="Y32" i="37" s="1"/>
  <c r="Z32" i="37" s="1"/>
  <c r="AB25" i="37"/>
  <c r="AA26" i="37"/>
  <c r="J42" i="30"/>
  <c r="W39" i="36"/>
  <c r="L48" i="28"/>
  <c r="G41" i="36"/>
  <c r="Q40" i="36"/>
  <c r="AD35" i="36"/>
  <c r="AC36" i="36"/>
  <c r="J43" i="31"/>
  <c r="S37" i="36"/>
  <c r="T37" i="36" s="1"/>
  <c r="R37" i="36" s="1"/>
  <c r="AB35" i="36"/>
  <c r="AA36" i="36"/>
  <c r="A53" i="37"/>
  <c r="C53" i="37" s="1"/>
  <c r="M52" i="37"/>
  <c r="N52" i="37" s="1"/>
  <c r="L52" i="37"/>
  <c r="V52" i="37"/>
  <c r="O52" i="37"/>
  <c r="E52" i="37"/>
  <c r="B52" i="37"/>
  <c r="AE52" i="37"/>
  <c r="AF52" i="37" s="1"/>
  <c r="V53" i="36"/>
  <c r="A54" i="36"/>
  <c r="C54" i="36" s="1"/>
  <c r="M53" i="36"/>
  <c r="N53" i="36" s="1"/>
  <c r="L53" i="36"/>
  <c r="D53" i="36"/>
  <c r="B53" i="36"/>
  <c r="O53" i="36"/>
  <c r="AE53" i="36"/>
  <c r="AF53" i="36" s="1"/>
  <c r="V44" i="11"/>
  <c r="O44" i="11"/>
  <c r="A45" i="11"/>
  <c r="C45" i="11" s="1"/>
  <c r="B44" i="11"/>
  <c r="AE44" i="11"/>
  <c r="AF44" i="11" s="1"/>
  <c r="F52" i="25" s="1"/>
  <c r="M44" i="11"/>
  <c r="N44" i="11" s="1"/>
  <c r="D44" i="11"/>
  <c r="C50" i="31"/>
  <c r="C51" i="25"/>
  <c r="C52" i="28"/>
  <c r="C50" i="30"/>
  <c r="H42" i="33"/>
  <c r="E43" i="11"/>
  <c r="F43" i="11" s="1"/>
  <c r="H44" i="11"/>
  <c r="H45" i="11" s="1"/>
  <c r="D50" i="30"/>
  <c r="D50" i="31"/>
  <c r="D51" i="25"/>
  <c r="D52" i="28"/>
  <c r="I42" i="33"/>
  <c r="J42" i="33"/>
  <c r="G42" i="11"/>
  <c r="Q30" i="11"/>
  <c r="A45" i="19"/>
  <c r="C45" i="19" s="1"/>
  <c r="AE44" i="19"/>
  <c r="AF44" i="19" s="1"/>
  <c r="G52" i="25" s="1"/>
  <c r="M44" i="19"/>
  <c r="N44" i="19" s="1"/>
  <c r="B44" i="19"/>
  <c r="E44" i="19"/>
  <c r="E50" i="30"/>
  <c r="E50" i="31"/>
  <c r="E52" i="28"/>
  <c r="E51" i="25"/>
  <c r="F43" i="19"/>
  <c r="M49" i="31"/>
  <c r="L49" i="31"/>
  <c r="I44" i="19"/>
  <c r="I45" i="19" s="1"/>
  <c r="O45" i="19"/>
  <c r="V44" i="19"/>
  <c r="L41" i="19"/>
  <c r="G49" i="28"/>
  <c r="G33" i="19"/>
  <c r="Q32" i="19"/>
  <c r="I31" i="11"/>
  <c r="L36" i="11"/>
  <c r="F44" i="28"/>
  <c r="D32" i="19"/>
  <c r="I40" i="28"/>
  <c r="W20" i="19"/>
  <c r="G27" i="30"/>
  <c r="AC20" i="19"/>
  <c r="AD20" i="19" s="1"/>
  <c r="H25" i="28"/>
  <c r="V45" i="19" l="1"/>
  <c r="J45" i="19"/>
  <c r="J53" i="37"/>
  <c r="J45" i="11"/>
  <c r="I53" i="37"/>
  <c r="H54" i="36"/>
  <c r="I54" i="36"/>
  <c r="H53" i="37"/>
  <c r="J54" i="36"/>
  <c r="P41" i="36"/>
  <c r="P48" i="31"/>
  <c r="U37" i="36"/>
  <c r="N38" i="31"/>
  <c r="P31" i="11"/>
  <c r="K31" i="11"/>
  <c r="K41" i="36"/>
  <c r="K41" i="37"/>
  <c r="P41" i="37"/>
  <c r="Q48" i="31"/>
  <c r="P33" i="19"/>
  <c r="Q33" i="19" s="1"/>
  <c r="O40" i="31"/>
  <c r="U27" i="37"/>
  <c r="K33" i="19"/>
  <c r="K42" i="28" s="1"/>
  <c r="H45" i="19"/>
  <c r="K34" i="31"/>
  <c r="S28" i="37"/>
  <c r="T28" i="37" s="1"/>
  <c r="R28" i="37" s="1"/>
  <c r="F52" i="37"/>
  <c r="D52" i="37"/>
  <c r="W32" i="37"/>
  <c r="AD31" i="37"/>
  <c r="AC32" i="37"/>
  <c r="AB26" i="37"/>
  <c r="AA27" i="37"/>
  <c r="K33" i="30"/>
  <c r="G42" i="37"/>
  <c r="Q41" i="37"/>
  <c r="M49" i="28"/>
  <c r="J44" i="31"/>
  <c r="S38" i="36"/>
  <c r="T38" i="36" s="1"/>
  <c r="R38" i="36" s="1"/>
  <c r="AB36" i="36"/>
  <c r="AA37" i="36"/>
  <c r="X40" i="36"/>
  <c r="Y40" i="36" s="1"/>
  <c r="Z40" i="36" s="1"/>
  <c r="AD36" i="36"/>
  <c r="AC37" i="36"/>
  <c r="G42" i="36"/>
  <c r="Q41" i="36"/>
  <c r="E53" i="36"/>
  <c r="F53" i="36" s="1"/>
  <c r="L49" i="28"/>
  <c r="J43" i="30"/>
  <c r="V53" i="37"/>
  <c r="M53" i="37"/>
  <c r="N53" i="37" s="1"/>
  <c r="B53" i="37"/>
  <c r="A54" i="37"/>
  <c r="C54" i="37" s="1"/>
  <c r="L53" i="37"/>
  <c r="D53" i="37"/>
  <c r="O53" i="37"/>
  <c r="E53" i="37"/>
  <c r="AE53" i="37"/>
  <c r="AF53" i="37" s="1"/>
  <c r="AE54" i="36"/>
  <c r="O54" i="36"/>
  <c r="B54" i="36"/>
  <c r="V54" i="36"/>
  <c r="A55" i="36"/>
  <c r="C55" i="36" s="1"/>
  <c r="M54" i="36"/>
  <c r="N54" i="36" s="1"/>
  <c r="L54" i="36"/>
  <c r="D54" i="36"/>
  <c r="AF54" i="36"/>
  <c r="O45" i="11"/>
  <c r="V45" i="11"/>
  <c r="H43" i="33"/>
  <c r="C51" i="30"/>
  <c r="C51" i="31"/>
  <c r="C53" i="28"/>
  <c r="C52" i="25"/>
  <c r="E44" i="11"/>
  <c r="F44" i="11" s="1"/>
  <c r="B45" i="11"/>
  <c r="AE45" i="11"/>
  <c r="AF45" i="11" s="1"/>
  <c r="F53" i="25" s="1"/>
  <c r="M45" i="11"/>
  <c r="N45" i="11" s="1"/>
  <c r="A46" i="11"/>
  <c r="C46" i="11" s="1"/>
  <c r="D45" i="11"/>
  <c r="D52" i="25"/>
  <c r="D51" i="30"/>
  <c r="D53" i="28"/>
  <c r="D51" i="31"/>
  <c r="I43" i="33"/>
  <c r="J43" i="33"/>
  <c r="F44" i="19"/>
  <c r="J40" i="28"/>
  <c r="G43" i="11"/>
  <c r="Q31" i="11"/>
  <c r="L50" i="31"/>
  <c r="M50" i="31"/>
  <c r="E51" i="31"/>
  <c r="E51" i="30"/>
  <c r="E53" i="28"/>
  <c r="E52" i="25"/>
  <c r="A46" i="19"/>
  <c r="AE45" i="19"/>
  <c r="AF45" i="19" s="1"/>
  <c r="G53" i="25" s="1"/>
  <c r="B45" i="19"/>
  <c r="M45" i="19"/>
  <c r="N45" i="19" s="1"/>
  <c r="E45" i="19"/>
  <c r="G34" i="19"/>
  <c r="L42" i="19"/>
  <c r="G50" i="28"/>
  <c r="I32" i="11"/>
  <c r="L37" i="11"/>
  <c r="F45" i="28"/>
  <c r="D33" i="19"/>
  <c r="I41" i="28"/>
  <c r="L19" i="33"/>
  <c r="X21" i="19"/>
  <c r="Y21" i="19" s="1"/>
  <c r="Z21" i="19" s="1"/>
  <c r="G27" i="31"/>
  <c r="H26" i="28"/>
  <c r="J55" i="36" l="1"/>
  <c r="I54" i="37"/>
  <c r="H54" i="37"/>
  <c r="J46" i="11"/>
  <c r="I55" i="36"/>
  <c r="J54" i="37"/>
  <c r="H55" i="36"/>
  <c r="J46" i="19"/>
  <c r="N39" i="31"/>
  <c r="P32" i="11"/>
  <c r="P42" i="36"/>
  <c r="Q42" i="36" s="1"/>
  <c r="P49" i="31"/>
  <c r="W40" i="36"/>
  <c r="K42" i="36"/>
  <c r="K32" i="11"/>
  <c r="J41" i="28" s="1"/>
  <c r="U38" i="36"/>
  <c r="P42" i="37"/>
  <c r="Q49" i="31"/>
  <c r="K42" i="37"/>
  <c r="K34" i="19"/>
  <c r="K43" i="28" s="1"/>
  <c r="P34" i="19"/>
  <c r="O41" i="31"/>
  <c r="U28" i="37"/>
  <c r="O46" i="19"/>
  <c r="C46" i="19"/>
  <c r="H46" i="19"/>
  <c r="K35" i="31"/>
  <c r="S29" i="37"/>
  <c r="T29" i="37" s="1"/>
  <c r="R29" i="37" s="1"/>
  <c r="M50" i="28"/>
  <c r="G43" i="37"/>
  <c r="Q42" i="37"/>
  <c r="AB27" i="37"/>
  <c r="AA28" i="37"/>
  <c r="X33" i="37"/>
  <c r="Y33" i="37" s="1"/>
  <c r="Z33" i="37" s="1"/>
  <c r="K34" i="30"/>
  <c r="AD32" i="37"/>
  <c r="F53" i="37"/>
  <c r="J45" i="31"/>
  <c r="S39" i="36"/>
  <c r="T39" i="36" s="1"/>
  <c r="R39" i="36" s="1"/>
  <c r="G43" i="36"/>
  <c r="X41" i="36"/>
  <c r="Y41" i="36" s="1"/>
  <c r="W41" i="36" s="1"/>
  <c r="J44" i="30"/>
  <c r="AD37" i="36"/>
  <c r="AC38" i="36"/>
  <c r="AB37" i="36"/>
  <c r="AA38" i="36"/>
  <c r="E54" i="36"/>
  <c r="F54" i="36" s="1"/>
  <c r="L50" i="28"/>
  <c r="AE54" i="37"/>
  <c r="AF54" i="37" s="1"/>
  <c r="O54" i="37"/>
  <c r="B54" i="37"/>
  <c r="D54" i="37"/>
  <c r="M54" i="37"/>
  <c r="N54" i="37" s="1"/>
  <c r="E54" i="37"/>
  <c r="A55" i="37"/>
  <c r="C55" i="37" s="1"/>
  <c r="L54" i="37"/>
  <c r="V54" i="37"/>
  <c r="L55" i="36"/>
  <c r="AE55" i="36"/>
  <c r="AF55" i="36" s="1"/>
  <c r="O55" i="36"/>
  <c r="B55" i="36"/>
  <c r="E55" i="36" s="1"/>
  <c r="V55" i="36"/>
  <c r="N55" i="36"/>
  <c r="M55" i="36"/>
  <c r="D55" i="36"/>
  <c r="B46" i="11"/>
  <c r="H46" i="11"/>
  <c r="M46" i="11"/>
  <c r="D46" i="11"/>
  <c r="H55" i="28" s="1"/>
  <c r="AE46" i="11"/>
  <c r="AF46" i="11" s="1"/>
  <c r="F54" i="25" s="1"/>
  <c r="A47" i="11"/>
  <c r="C47" i="11" s="1"/>
  <c r="N46" i="11"/>
  <c r="H44" i="33"/>
  <c r="C52" i="30"/>
  <c r="C52" i="31"/>
  <c r="C53" i="25"/>
  <c r="C54" i="28"/>
  <c r="E45" i="11"/>
  <c r="F45" i="11" s="1"/>
  <c r="O46" i="11"/>
  <c r="O47" i="11" s="1"/>
  <c r="V46" i="11"/>
  <c r="D54" i="28"/>
  <c r="D52" i="30"/>
  <c r="D53" i="25"/>
  <c r="D52" i="31"/>
  <c r="I44" i="33"/>
  <c r="J44" i="33"/>
  <c r="Q32" i="11"/>
  <c r="G44" i="11"/>
  <c r="E53" i="25"/>
  <c r="E52" i="31"/>
  <c r="E52" i="30"/>
  <c r="E54" i="28"/>
  <c r="L51" i="31"/>
  <c r="M51" i="31"/>
  <c r="F45" i="19"/>
  <c r="I46" i="19"/>
  <c r="A47" i="19"/>
  <c r="C47" i="19" s="1"/>
  <c r="B46" i="19"/>
  <c r="AE46" i="19"/>
  <c r="AF46" i="19" s="1"/>
  <c r="G54" i="25" s="1"/>
  <c r="M46" i="19"/>
  <c r="N46" i="19" s="1"/>
  <c r="E46" i="19"/>
  <c r="V46" i="19"/>
  <c r="L43" i="19"/>
  <c r="G51" i="28"/>
  <c r="G35" i="19"/>
  <c r="Q34" i="19"/>
  <c r="I33" i="11"/>
  <c r="L38" i="11"/>
  <c r="F46" i="28"/>
  <c r="D34" i="19"/>
  <c r="I42" i="28"/>
  <c r="W21" i="19"/>
  <c r="G28" i="30"/>
  <c r="AC21" i="19"/>
  <c r="AD21" i="19" s="1"/>
  <c r="H27" i="28"/>
  <c r="J47" i="19" l="1"/>
  <c r="J47" i="11"/>
  <c r="H55" i="37"/>
  <c r="V47" i="19"/>
  <c r="J55" i="37"/>
  <c r="I55" i="37"/>
  <c r="U39" i="36"/>
  <c r="N40" i="31"/>
  <c r="P33" i="11"/>
  <c r="K33" i="11"/>
  <c r="F55" i="36"/>
  <c r="P43" i="36"/>
  <c r="P50" i="31"/>
  <c r="K43" i="36"/>
  <c r="K43" i="37"/>
  <c r="P43" i="37"/>
  <c r="Q43" i="37" s="1"/>
  <c r="Q50" i="31"/>
  <c r="U29" i="37"/>
  <c r="P35" i="19"/>
  <c r="O42" i="31"/>
  <c r="K35" i="19"/>
  <c r="K44" i="28" s="1"/>
  <c r="H47" i="19"/>
  <c r="K36" i="31"/>
  <c r="S30" i="37"/>
  <c r="T30" i="37" s="1"/>
  <c r="R30" i="37" s="1"/>
  <c r="M51" i="28"/>
  <c r="F54" i="37"/>
  <c r="AC33" i="37"/>
  <c r="W33" i="37"/>
  <c r="K35" i="30"/>
  <c r="AB28" i="37"/>
  <c r="AA29" i="37"/>
  <c r="G44" i="37"/>
  <c r="X42" i="36"/>
  <c r="Y42" i="36" s="1"/>
  <c r="W42" i="36" s="1"/>
  <c r="J46" i="31"/>
  <c r="S40" i="36"/>
  <c r="T40" i="36" s="1"/>
  <c r="R40" i="36" s="1"/>
  <c r="L51" i="28"/>
  <c r="AD38" i="36"/>
  <c r="AC39" i="36"/>
  <c r="G44" i="36"/>
  <c r="Q43" i="36"/>
  <c r="Z41" i="36"/>
  <c r="Z42" i="36" s="1"/>
  <c r="AB38" i="36"/>
  <c r="AA39" i="36"/>
  <c r="J45" i="30"/>
  <c r="L55" i="37"/>
  <c r="D55" i="37"/>
  <c r="AE55" i="37"/>
  <c r="AF55" i="37" s="1"/>
  <c r="O55" i="37"/>
  <c r="B55" i="37"/>
  <c r="V55" i="37"/>
  <c r="M55" i="37"/>
  <c r="N55" i="37" s="1"/>
  <c r="B47" i="11"/>
  <c r="H47" i="11"/>
  <c r="AE47" i="11"/>
  <c r="AF47" i="11" s="1"/>
  <c r="F55" i="25" s="1"/>
  <c r="M47" i="11"/>
  <c r="A48" i="11"/>
  <c r="C48" i="11" s="1"/>
  <c r="N47" i="11"/>
  <c r="D47" i="11"/>
  <c r="H56" i="28" s="1"/>
  <c r="V47" i="11"/>
  <c r="C55" i="28"/>
  <c r="C54" i="25"/>
  <c r="C53" i="30"/>
  <c r="H45" i="33"/>
  <c r="C53" i="31"/>
  <c r="E46" i="11"/>
  <c r="F46" i="11" s="1"/>
  <c r="D53" i="31"/>
  <c r="D55" i="28"/>
  <c r="D54" i="25"/>
  <c r="D53" i="30"/>
  <c r="I45" i="33"/>
  <c r="J45" i="33"/>
  <c r="Q35" i="19"/>
  <c r="G45" i="11"/>
  <c r="J42" i="28"/>
  <c r="Q33" i="11"/>
  <c r="F46" i="19"/>
  <c r="A48" i="19"/>
  <c r="C48" i="19" s="1"/>
  <c r="M47" i="19"/>
  <c r="N47" i="19" s="1"/>
  <c r="B47" i="19"/>
  <c r="AE47" i="19"/>
  <c r="AF47" i="19" s="1"/>
  <c r="G55" i="25" s="1"/>
  <c r="E47" i="19"/>
  <c r="V48" i="19"/>
  <c r="I47" i="19"/>
  <c r="I48" i="19" s="1"/>
  <c r="M52" i="31"/>
  <c r="L52" i="31"/>
  <c r="E54" i="25"/>
  <c r="E53" i="31"/>
  <c r="E55" i="28"/>
  <c r="E53" i="30"/>
  <c r="O47" i="19"/>
  <c r="O48" i="19" s="1"/>
  <c r="G36" i="19"/>
  <c r="L44" i="19"/>
  <c r="G52" i="28"/>
  <c r="I34" i="11"/>
  <c r="L39" i="11"/>
  <c r="F47" i="28"/>
  <c r="D35" i="19"/>
  <c r="I43" i="28"/>
  <c r="L20" i="33"/>
  <c r="X22" i="19"/>
  <c r="Y22" i="19" s="1"/>
  <c r="Z22" i="19" s="1"/>
  <c r="G28" i="31"/>
  <c r="H28" i="28"/>
  <c r="J48" i="11" l="1"/>
  <c r="J48" i="19"/>
  <c r="G46" i="11"/>
  <c r="K44" i="36"/>
  <c r="K34" i="11"/>
  <c r="U40" i="36"/>
  <c r="P44" i="36"/>
  <c r="P51" i="31"/>
  <c r="P34" i="11"/>
  <c r="N41" i="31"/>
  <c r="P36" i="19"/>
  <c r="O43" i="31"/>
  <c r="K36" i="19"/>
  <c r="P44" i="37"/>
  <c r="Q51" i="31"/>
  <c r="K44" i="37"/>
  <c r="U30" i="37"/>
  <c r="H48" i="19"/>
  <c r="K37" i="31"/>
  <c r="S31" i="37"/>
  <c r="T31" i="37" s="1"/>
  <c r="R31" i="37" s="1"/>
  <c r="G45" i="37"/>
  <c r="Q44" i="37"/>
  <c r="AB29" i="37"/>
  <c r="AA30" i="37"/>
  <c r="M52" i="28"/>
  <c r="E55" i="37"/>
  <c r="F55" i="37" s="1"/>
  <c r="X34" i="37"/>
  <c r="Y34" i="37" s="1"/>
  <c r="Z34" i="37" s="1"/>
  <c r="K36" i="30"/>
  <c r="AD33" i="37"/>
  <c r="X43" i="36"/>
  <c r="Y43" i="36" s="1"/>
  <c r="W43" i="36" s="1"/>
  <c r="G45" i="36"/>
  <c r="Q44" i="36"/>
  <c r="J46" i="30"/>
  <c r="AD39" i="36"/>
  <c r="AC40" i="36"/>
  <c r="J47" i="31"/>
  <c r="S41" i="36"/>
  <c r="T41" i="36" s="1"/>
  <c r="R41" i="36" s="1"/>
  <c r="AB39" i="36"/>
  <c r="AA40" i="36"/>
  <c r="L52" i="28"/>
  <c r="B48" i="11"/>
  <c r="H48" i="11"/>
  <c r="AE48" i="11"/>
  <c r="AF48" i="11" s="1"/>
  <c r="F56" i="25" s="1"/>
  <c r="M48" i="11"/>
  <c r="N48" i="11" s="1"/>
  <c r="A49" i="11"/>
  <c r="C49" i="11" s="1"/>
  <c r="D48" i="11"/>
  <c r="H57" i="28" s="1"/>
  <c r="C54" i="31"/>
  <c r="C55" i="25"/>
  <c r="C54" i="30"/>
  <c r="C56" i="28"/>
  <c r="H46" i="33"/>
  <c r="E47" i="11"/>
  <c r="F47" i="11" s="1"/>
  <c r="V48" i="11"/>
  <c r="O48" i="11"/>
  <c r="D54" i="30"/>
  <c r="D54" i="31"/>
  <c r="D56" i="28"/>
  <c r="D55" i="25"/>
  <c r="K45" i="28"/>
  <c r="F47" i="19"/>
  <c r="I46" i="33"/>
  <c r="J46" i="33"/>
  <c r="Q34" i="11"/>
  <c r="J43" i="28"/>
  <c r="L53" i="31"/>
  <c r="M53" i="31"/>
  <c r="E56" i="28"/>
  <c r="E54" i="30"/>
  <c r="E55" i="25"/>
  <c r="E54" i="31"/>
  <c r="A49" i="19"/>
  <c r="C49" i="19" s="1"/>
  <c r="M48" i="19"/>
  <c r="B48" i="19"/>
  <c r="AE48" i="19"/>
  <c r="AF48" i="19" s="1"/>
  <c r="G56" i="25" s="1"/>
  <c r="E48" i="19"/>
  <c r="N48" i="19"/>
  <c r="Q36" i="19"/>
  <c r="G37" i="19"/>
  <c r="L45" i="19"/>
  <c r="G53" i="28"/>
  <c r="I44" i="28"/>
  <c r="D36" i="19"/>
  <c r="I35" i="11"/>
  <c r="L40" i="11"/>
  <c r="F48" i="28"/>
  <c r="W22" i="19"/>
  <c r="G29" i="30"/>
  <c r="AC22" i="19"/>
  <c r="AD22" i="19" s="1"/>
  <c r="H29" i="28"/>
  <c r="J49" i="19" l="1"/>
  <c r="J49" i="11"/>
  <c r="N42" i="31"/>
  <c r="P35" i="11"/>
  <c r="U41" i="36"/>
  <c r="P45" i="36"/>
  <c r="P52" i="31"/>
  <c r="K35" i="11"/>
  <c r="J44" i="28" s="1"/>
  <c r="G47" i="11"/>
  <c r="K45" i="36"/>
  <c r="AC34" i="37"/>
  <c r="AD34" i="37" s="1"/>
  <c r="K37" i="19"/>
  <c r="K46" i="28" s="1"/>
  <c r="P45" i="37"/>
  <c r="Q45" i="37" s="1"/>
  <c r="Q52" i="31"/>
  <c r="K45" i="37"/>
  <c r="P37" i="19"/>
  <c r="O44" i="31"/>
  <c r="U31" i="37"/>
  <c r="H49" i="19"/>
  <c r="K38" i="31"/>
  <c r="S32" i="37"/>
  <c r="T32" i="37" s="1"/>
  <c r="R32" i="37" s="1"/>
  <c r="W34" i="37"/>
  <c r="M53" i="28"/>
  <c r="K37" i="30"/>
  <c r="AB30" i="37"/>
  <c r="AA31" i="37"/>
  <c r="G46" i="37"/>
  <c r="X44" i="36"/>
  <c r="Y44" i="36" s="1"/>
  <c r="W44" i="36" s="1"/>
  <c r="J48" i="31"/>
  <c r="S42" i="36"/>
  <c r="T42" i="36" s="1"/>
  <c r="R42" i="36" s="1"/>
  <c r="AB40" i="36"/>
  <c r="AA41" i="36"/>
  <c r="Z43" i="36"/>
  <c r="J47" i="30"/>
  <c r="G46" i="36"/>
  <c r="Q45" i="36"/>
  <c r="L53" i="28"/>
  <c r="AD40" i="36"/>
  <c r="AC41" i="36"/>
  <c r="O49" i="11"/>
  <c r="V49" i="11"/>
  <c r="H47" i="33"/>
  <c r="C57" i="28"/>
  <c r="C56" i="25"/>
  <c r="C55" i="30"/>
  <c r="C55" i="31"/>
  <c r="E48" i="11"/>
  <c r="F48" i="11" s="1"/>
  <c r="A50" i="11"/>
  <c r="C50" i="11" s="1"/>
  <c r="B49" i="11"/>
  <c r="C56" i="31" s="1"/>
  <c r="H49" i="11"/>
  <c r="M49" i="11"/>
  <c r="N49" i="11" s="1"/>
  <c r="AE49" i="11"/>
  <c r="AF49" i="11" s="1"/>
  <c r="F57" i="25" s="1"/>
  <c r="D49" i="11"/>
  <c r="H58" i="28" s="1"/>
  <c r="D56" i="25"/>
  <c r="D55" i="30"/>
  <c r="D55" i="31"/>
  <c r="D57" i="28"/>
  <c r="F48" i="19"/>
  <c r="I47" i="33"/>
  <c r="J47" i="33"/>
  <c r="Q35" i="11"/>
  <c r="L54" i="31"/>
  <c r="M54" i="31"/>
  <c r="A50" i="19"/>
  <c r="C50" i="19" s="1"/>
  <c r="AE49" i="19"/>
  <c r="AF49" i="19" s="1"/>
  <c r="G57" i="25" s="1"/>
  <c r="M49" i="19"/>
  <c r="N49" i="19" s="1"/>
  <c r="B49" i="19"/>
  <c r="E49" i="19"/>
  <c r="O49" i="19"/>
  <c r="E56" i="25"/>
  <c r="E57" i="28"/>
  <c r="E55" i="30"/>
  <c r="E55" i="31"/>
  <c r="I49" i="19"/>
  <c r="V49" i="19"/>
  <c r="Q37" i="19"/>
  <c r="G38" i="19"/>
  <c r="D37" i="19"/>
  <c r="I45" i="28"/>
  <c r="L46" i="19"/>
  <c r="G54" i="28"/>
  <c r="I36" i="11"/>
  <c r="L41" i="11"/>
  <c r="F49" i="28"/>
  <c r="L21" i="33"/>
  <c r="X23" i="19"/>
  <c r="Y23" i="19" s="1"/>
  <c r="G29" i="31"/>
  <c r="H30" i="28"/>
  <c r="V50" i="19" l="1"/>
  <c r="I50" i="19"/>
  <c r="O50" i="19"/>
  <c r="D56" i="31"/>
  <c r="E56" i="31"/>
  <c r="J50" i="11"/>
  <c r="V50" i="11"/>
  <c r="J50" i="19"/>
  <c r="G48" i="11"/>
  <c r="U42" i="36"/>
  <c r="P46" i="36"/>
  <c r="P53" i="31"/>
  <c r="K36" i="11"/>
  <c r="J45" i="28" s="1"/>
  <c r="K46" i="36"/>
  <c r="P36" i="11"/>
  <c r="N43" i="31"/>
  <c r="Z44" i="36"/>
  <c r="K46" i="37"/>
  <c r="P38" i="19"/>
  <c r="O45" i="31"/>
  <c r="P46" i="37"/>
  <c r="Q53" i="31"/>
  <c r="K38" i="19"/>
  <c r="K47" i="28" s="1"/>
  <c r="U32" i="37"/>
  <c r="H50" i="19"/>
  <c r="K39" i="31"/>
  <c r="S33" i="37"/>
  <c r="T33" i="37" s="1"/>
  <c r="R33" i="37" s="1"/>
  <c r="K38" i="30"/>
  <c r="G47" i="37"/>
  <c r="Q46" i="37"/>
  <c r="X35" i="37"/>
  <c r="Y35" i="37" s="1"/>
  <c r="AB31" i="37"/>
  <c r="AA32" i="37"/>
  <c r="M54" i="28"/>
  <c r="J49" i="31"/>
  <c r="S43" i="36"/>
  <c r="T43" i="36" s="1"/>
  <c r="R43" i="36" s="1"/>
  <c r="X45" i="36"/>
  <c r="Y45" i="36" s="1"/>
  <c r="Z45" i="36" s="1"/>
  <c r="J48" i="30"/>
  <c r="AD41" i="36"/>
  <c r="AC42" i="36"/>
  <c r="L54" i="28"/>
  <c r="G47" i="36"/>
  <c r="Q46" i="36"/>
  <c r="AB41" i="36"/>
  <c r="AA42" i="36"/>
  <c r="C58" i="28"/>
  <c r="H48" i="33"/>
  <c r="C57" i="25"/>
  <c r="C56" i="30"/>
  <c r="E49" i="11"/>
  <c r="F49" i="11" s="1"/>
  <c r="A51" i="11"/>
  <c r="B50" i="11"/>
  <c r="C57" i="31" s="1"/>
  <c r="H50" i="11"/>
  <c r="M50" i="11"/>
  <c r="N50" i="11" s="1"/>
  <c r="D50" i="11"/>
  <c r="H59" i="28" s="1"/>
  <c r="AE50" i="11"/>
  <c r="AF50" i="11" s="1"/>
  <c r="F58" i="25" s="1"/>
  <c r="O50" i="11"/>
  <c r="D58" i="28"/>
  <c r="D57" i="25"/>
  <c r="D56" i="30"/>
  <c r="I48" i="33"/>
  <c r="J48" i="33"/>
  <c r="Q36" i="11"/>
  <c r="L55" i="31"/>
  <c r="M55" i="31"/>
  <c r="E56" i="30"/>
  <c r="E58" i="28"/>
  <c r="E57" i="25"/>
  <c r="A51" i="19"/>
  <c r="C51" i="19" s="1"/>
  <c r="B50" i="19"/>
  <c r="AE50" i="19"/>
  <c r="AF50" i="19" s="1"/>
  <c r="G58" i="25" s="1"/>
  <c r="M50" i="19"/>
  <c r="N50" i="19" s="1"/>
  <c r="E50" i="19"/>
  <c r="F49" i="19"/>
  <c r="D38" i="19"/>
  <c r="I46" i="28"/>
  <c r="L47" i="19"/>
  <c r="G55" i="28"/>
  <c r="G39" i="19"/>
  <c r="Q38" i="19"/>
  <c r="I37" i="11"/>
  <c r="L42" i="11"/>
  <c r="F50" i="28"/>
  <c r="W23" i="19"/>
  <c r="Z23" i="19"/>
  <c r="AC23" i="19"/>
  <c r="AD23" i="19" s="1"/>
  <c r="H31" i="28"/>
  <c r="O51" i="19" l="1"/>
  <c r="D57" i="31"/>
  <c r="E57" i="31"/>
  <c r="V51" i="11"/>
  <c r="C51" i="11"/>
  <c r="J51" i="19"/>
  <c r="O51" i="11"/>
  <c r="J51" i="11"/>
  <c r="K47" i="36"/>
  <c r="U43" i="36"/>
  <c r="K37" i="11"/>
  <c r="J46" i="28" s="1"/>
  <c r="G49" i="11"/>
  <c r="P47" i="36"/>
  <c r="P54" i="31"/>
  <c r="N44" i="31"/>
  <c r="P37" i="11"/>
  <c r="P47" i="37"/>
  <c r="Q54" i="31"/>
  <c r="P39" i="19"/>
  <c r="O46" i="31"/>
  <c r="K47" i="37"/>
  <c r="K39" i="19"/>
  <c r="K48" i="28" s="1"/>
  <c r="U33" i="37"/>
  <c r="H51" i="19"/>
  <c r="K40" i="31"/>
  <c r="S34" i="37"/>
  <c r="T34" i="37" s="1"/>
  <c r="R34" i="37" s="1"/>
  <c r="M55" i="28"/>
  <c r="AC35" i="37"/>
  <c r="Z35" i="37"/>
  <c r="G48" i="37"/>
  <c r="Q47" i="37"/>
  <c r="W35" i="37"/>
  <c r="K39" i="30"/>
  <c r="AB32" i="37"/>
  <c r="AA33" i="37"/>
  <c r="J50" i="31"/>
  <c r="S44" i="36"/>
  <c r="T44" i="36" s="1"/>
  <c r="R44" i="36" s="1"/>
  <c r="AB42" i="36"/>
  <c r="AA43" i="36"/>
  <c r="G48" i="36"/>
  <c r="Q47" i="36"/>
  <c r="AD42" i="36"/>
  <c r="AC43" i="36"/>
  <c r="W45" i="36"/>
  <c r="L55" i="28"/>
  <c r="J49" i="30"/>
  <c r="C59" i="28"/>
  <c r="C57" i="30"/>
  <c r="C58" i="25"/>
  <c r="H49" i="33"/>
  <c r="E50" i="11"/>
  <c r="F50" i="11" s="1"/>
  <c r="A52" i="11"/>
  <c r="B51" i="11"/>
  <c r="C58" i="31" s="1"/>
  <c r="H51" i="11"/>
  <c r="AE51" i="11"/>
  <c r="AF51" i="11" s="1"/>
  <c r="F59" i="25" s="1"/>
  <c r="M51" i="11"/>
  <c r="N51" i="11" s="1"/>
  <c r="D51" i="11"/>
  <c r="H60" i="28" s="1"/>
  <c r="F50" i="19"/>
  <c r="D59" i="28"/>
  <c r="D57" i="30"/>
  <c r="D58" i="25"/>
  <c r="I49" i="33"/>
  <c r="J49" i="33"/>
  <c r="Q37" i="11"/>
  <c r="M51" i="19"/>
  <c r="N51" i="19" s="1"/>
  <c r="B51" i="19"/>
  <c r="AE51" i="19"/>
  <c r="AF51" i="19" s="1"/>
  <c r="G59" i="25" s="1"/>
  <c r="E51" i="19"/>
  <c r="A52" i="19"/>
  <c r="C52" i="19" s="1"/>
  <c r="L56" i="31"/>
  <c r="M56" i="31"/>
  <c r="I51" i="19"/>
  <c r="E57" i="30"/>
  <c r="E58" i="25"/>
  <c r="E59" i="28"/>
  <c r="V51" i="19"/>
  <c r="Q39" i="19"/>
  <c r="G40" i="19"/>
  <c r="L48" i="19"/>
  <c r="G56" i="28"/>
  <c r="D39" i="19"/>
  <c r="I47" i="28"/>
  <c r="I38" i="11"/>
  <c r="L43" i="11"/>
  <c r="F51" i="28"/>
  <c r="L22" i="33"/>
  <c r="G30" i="30"/>
  <c r="X24" i="19"/>
  <c r="Y24" i="19" s="1"/>
  <c r="W24" i="19" s="1"/>
  <c r="G30" i="31"/>
  <c r="H32" i="28"/>
  <c r="V52" i="19" l="1"/>
  <c r="E58" i="31"/>
  <c r="D58" i="31"/>
  <c r="J52" i="19"/>
  <c r="V52" i="11"/>
  <c r="C52" i="11"/>
  <c r="J52" i="11"/>
  <c r="P38" i="11"/>
  <c r="N45" i="31"/>
  <c r="P48" i="36"/>
  <c r="P55" i="31"/>
  <c r="K38" i="11"/>
  <c r="J47" i="28" s="1"/>
  <c r="U44" i="36"/>
  <c r="G50" i="11"/>
  <c r="K48" i="36"/>
  <c r="P40" i="19"/>
  <c r="O47" i="31"/>
  <c r="P48" i="37"/>
  <c r="Q55" i="31"/>
  <c r="K40" i="19"/>
  <c r="K49" i="28" s="1"/>
  <c r="K48" i="37"/>
  <c r="U34" i="37"/>
  <c r="I52" i="19"/>
  <c r="H52" i="19"/>
  <c r="K41" i="31"/>
  <c r="S35" i="37"/>
  <c r="T35" i="37" s="1"/>
  <c r="R35" i="37" s="1"/>
  <c r="AB33" i="37"/>
  <c r="AA34" i="37"/>
  <c r="X36" i="37"/>
  <c r="Y36" i="37" s="1"/>
  <c r="Z36" i="37" s="1"/>
  <c r="AD35" i="37"/>
  <c r="K40" i="30"/>
  <c r="M56" i="28"/>
  <c r="G49" i="37"/>
  <c r="Q48" i="37"/>
  <c r="J51" i="31"/>
  <c r="S45" i="36"/>
  <c r="T45" i="36" s="1"/>
  <c r="R45" i="36" s="1"/>
  <c r="J50" i="30"/>
  <c r="X46" i="36"/>
  <c r="Y46" i="36" s="1"/>
  <c r="Z46" i="36" s="1"/>
  <c r="AD43" i="36"/>
  <c r="AC44" i="36"/>
  <c r="G49" i="36"/>
  <c r="Q48" i="36"/>
  <c r="L56" i="28"/>
  <c r="AB43" i="36"/>
  <c r="AA44" i="36"/>
  <c r="C58" i="30"/>
  <c r="C60" i="28"/>
  <c r="C59" i="25"/>
  <c r="H50" i="33"/>
  <c r="E51" i="11"/>
  <c r="F51" i="11" s="1"/>
  <c r="A53" i="11"/>
  <c r="C53" i="11" s="1"/>
  <c r="B52" i="11"/>
  <c r="C59" i="31" s="1"/>
  <c r="H52" i="11"/>
  <c r="AE52" i="11"/>
  <c r="AF52" i="11" s="1"/>
  <c r="F60" i="25" s="1"/>
  <c r="M52" i="11"/>
  <c r="N52" i="11" s="1"/>
  <c r="D52" i="11"/>
  <c r="H61" i="28" s="1"/>
  <c r="O52" i="11"/>
  <c r="D58" i="30"/>
  <c r="D60" i="28"/>
  <c r="D59" i="25"/>
  <c r="I50" i="33"/>
  <c r="J50" i="33"/>
  <c r="L57" i="31"/>
  <c r="M57" i="31"/>
  <c r="E60" i="28"/>
  <c r="E59" i="25"/>
  <c r="E58" i="30"/>
  <c r="A53" i="19"/>
  <c r="M52" i="19"/>
  <c r="AE52" i="19"/>
  <c r="AF52" i="19" s="1"/>
  <c r="G60" i="25" s="1"/>
  <c r="B52" i="19"/>
  <c r="E52" i="19"/>
  <c r="N52" i="19"/>
  <c r="O52" i="19"/>
  <c r="O53" i="19" s="1"/>
  <c r="F51" i="19"/>
  <c r="L49" i="19"/>
  <c r="G57" i="28"/>
  <c r="Q40" i="19"/>
  <c r="G41" i="19"/>
  <c r="D40" i="19"/>
  <c r="I48" i="28"/>
  <c r="I39" i="11"/>
  <c r="Q38" i="11"/>
  <c r="L44" i="11"/>
  <c r="F52" i="28"/>
  <c r="Z24" i="19"/>
  <c r="X25" i="19"/>
  <c r="Y25" i="19" s="1"/>
  <c r="W25" i="19" s="1"/>
  <c r="G31" i="31"/>
  <c r="AC24" i="19"/>
  <c r="AD24" i="19" s="1"/>
  <c r="H33" i="28"/>
  <c r="O53" i="11" l="1"/>
  <c r="E59" i="31"/>
  <c r="D59" i="31"/>
  <c r="J53" i="11"/>
  <c r="J53" i="19"/>
  <c r="U45" i="36"/>
  <c r="P49" i="36"/>
  <c r="P56" i="31"/>
  <c r="K49" i="36"/>
  <c r="K39" i="11"/>
  <c r="J48" i="28" s="1"/>
  <c r="G51" i="11"/>
  <c r="P39" i="11"/>
  <c r="N46" i="31"/>
  <c r="AC36" i="37"/>
  <c r="P41" i="19"/>
  <c r="O48" i="31"/>
  <c r="P49" i="37"/>
  <c r="Q56" i="31"/>
  <c r="K49" i="37"/>
  <c r="K41" i="19"/>
  <c r="K50" i="28" s="1"/>
  <c r="U35" i="37"/>
  <c r="I53" i="19"/>
  <c r="C53" i="19"/>
  <c r="H53" i="19"/>
  <c r="K42" i="31"/>
  <c r="S36" i="37"/>
  <c r="T36" i="37" s="1"/>
  <c r="R36" i="37" s="1"/>
  <c r="G50" i="37"/>
  <c r="Q49" i="37"/>
  <c r="W36" i="37"/>
  <c r="M57" i="28"/>
  <c r="AD36" i="37"/>
  <c r="AB34" i="37"/>
  <c r="AA35" i="37"/>
  <c r="K41" i="30"/>
  <c r="J52" i="31"/>
  <c r="S46" i="36"/>
  <c r="T46" i="36" s="1"/>
  <c r="R46" i="36" s="1"/>
  <c r="AD44" i="36"/>
  <c r="AC45" i="36"/>
  <c r="J51" i="30"/>
  <c r="AB44" i="36"/>
  <c r="AA45" i="36"/>
  <c r="L57" i="28"/>
  <c r="G50" i="36"/>
  <c r="Q49" i="36"/>
  <c r="W46" i="36"/>
  <c r="H51" i="33"/>
  <c r="C60" i="25"/>
  <c r="C61" i="28"/>
  <c r="C59" i="30"/>
  <c r="E52" i="11"/>
  <c r="F52" i="11" s="1"/>
  <c r="A54" i="11"/>
  <c r="C54" i="11" s="1"/>
  <c r="B53" i="11"/>
  <c r="C60" i="31" s="1"/>
  <c r="H53" i="11"/>
  <c r="D53" i="11"/>
  <c r="H62" i="28" s="1"/>
  <c r="AE53" i="11"/>
  <c r="AF53" i="11" s="1"/>
  <c r="F61" i="25" s="1"/>
  <c r="M53" i="11"/>
  <c r="N53" i="11" s="1"/>
  <c r="V53" i="11"/>
  <c r="D60" i="25"/>
  <c r="D59" i="30"/>
  <c r="D61" i="28"/>
  <c r="I51" i="33"/>
  <c r="J51" i="33"/>
  <c r="Q39" i="11"/>
  <c r="E61" i="28"/>
  <c r="E59" i="30"/>
  <c r="E60" i="25"/>
  <c r="M58" i="31"/>
  <c r="L58" i="31"/>
  <c r="A54" i="19"/>
  <c r="AE53" i="19"/>
  <c r="AF53" i="19" s="1"/>
  <c r="G61" i="25" s="1"/>
  <c r="B53" i="19"/>
  <c r="M53" i="19"/>
  <c r="N53" i="19" s="1"/>
  <c r="E53" i="19"/>
  <c r="F52" i="19"/>
  <c r="V53" i="19"/>
  <c r="V54" i="19" s="1"/>
  <c r="D41" i="19"/>
  <c r="I49" i="28"/>
  <c r="L50" i="19"/>
  <c r="G58" i="28"/>
  <c r="Q41" i="19"/>
  <c r="G42" i="19"/>
  <c r="I40" i="11"/>
  <c r="L45" i="11"/>
  <c r="F53" i="28"/>
  <c r="Z25" i="19"/>
  <c r="X26" i="19"/>
  <c r="Y26" i="19" s="1"/>
  <c r="W26" i="19" s="1"/>
  <c r="G32" i="31"/>
  <c r="AC25" i="19"/>
  <c r="AD25" i="19" s="1"/>
  <c r="L23" i="33"/>
  <c r="G31" i="30"/>
  <c r="H34" i="28"/>
  <c r="V54" i="11" l="1"/>
  <c r="D60" i="31"/>
  <c r="E60" i="31"/>
  <c r="J54" i="19"/>
  <c r="J54" i="11"/>
  <c r="G52" i="11"/>
  <c r="N47" i="31"/>
  <c r="P40" i="11"/>
  <c r="P50" i="36"/>
  <c r="Q50" i="36" s="1"/>
  <c r="P57" i="31"/>
  <c r="K40" i="11"/>
  <c r="J49" i="28" s="1"/>
  <c r="U46" i="36"/>
  <c r="K50" i="36"/>
  <c r="U36" i="37"/>
  <c r="K42" i="19"/>
  <c r="P42" i="19"/>
  <c r="O49" i="31"/>
  <c r="P50" i="37"/>
  <c r="Q57" i="31"/>
  <c r="K50" i="37"/>
  <c r="H54" i="19"/>
  <c r="O54" i="19"/>
  <c r="C54" i="19"/>
  <c r="K43" i="31"/>
  <c r="S37" i="37"/>
  <c r="T37" i="37" s="1"/>
  <c r="R37" i="37" s="1"/>
  <c r="AB35" i="37"/>
  <c r="AA36" i="37"/>
  <c r="M58" i="28"/>
  <c r="G51" i="37"/>
  <c r="Q50" i="37"/>
  <c r="K42" i="30"/>
  <c r="X37" i="37"/>
  <c r="Y37" i="37" s="1"/>
  <c r="X47" i="36"/>
  <c r="Y47" i="36" s="1"/>
  <c r="Z47" i="36" s="1"/>
  <c r="L58" i="28"/>
  <c r="J52" i="30"/>
  <c r="G51" i="36"/>
  <c r="AB45" i="36"/>
  <c r="AA46" i="36"/>
  <c r="AD45" i="36"/>
  <c r="AC46" i="36"/>
  <c r="J53" i="31"/>
  <c r="S47" i="36"/>
  <c r="T47" i="36" s="1"/>
  <c r="R47" i="36" s="1"/>
  <c r="H52" i="33"/>
  <c r="C61" i="25"/>
  <c r="C60" i="30"/>
  <c r="C62" i="28"/>
  <c r="E53" i="11"/>
  <c r="F53" i="11" s="1"/>
  <c r="B54" i="11"/>
  <c r="C61" i="31" s="1"/>
  <c r="H54" i="11"/>
  <c r="M54" i="11"/>
  <c r="N54" i="11" s="1"/>
  <c r="D54" i="11"/>
  <c r="H63" i="28" s="1"/>
  <c r="AE54" i="11"/>
  <c r="AF54" i="11" s="1"/>
  <c r="F62" i="25" s="1"/>
  <c r="A55" i="11"/>
  <c r="C55" i="11" s="1"/>
  <c r="O54" i="11"/>
  <c r="D62" i="28"/>
  <c r="D61" i="25"/>
  <c r="D60" i="30"/>
  <c r="I52" i="33"/>
  <c r="J52" i="33"/>
  <c r="K51" i="28"/>
  <c r="F53" i="19"/>
  <c r="E60" i="30"/>
  <c r="E62" i="28"/>
  <c r="E61" i="25"/>
  <c r="L59" i="31"/>
  <c r="M59" i="31"/>
  <c r="A55" i="19"/>
  <c r="C55" i="19" s="1"/>
  <c r="B54" i="19"/>
  <c r="AE54" i="19"/>
  <c r="AF54" i="19" s="1"/>
  <c r="G62" i="25" s="1"/>
  <c r="M54" i="19"/>
  <c r="N54" i="19" s="1"/>
  <c r="E54" i="19"/>
  <c r="I54" i="19"/>
  <c r="L51" i="19"/>
  <c r="G59" i="28"/>
  <c r="D42" i="19"/>
  <c r="I50" i="28"/>
  <c r="Q42" i="19"/>
  <c r="G43" i="19"/>
  <c r="F54" i="28"/>
  <c r="L46" i="11"/>
  <c r="I41" i="11"/>
  <c r="Q40" i="11"/>
  <c r="Z26" i="19"/>
  <c r="AC26" i="19"/>
  <c r="AD26" i="19" s="1"/>
  <c r="L24" i="33"/>
  <c r="X27" i="19"/>
  <c r="Y27" i="19" s="1"/>
  <c r="W27" i="19" s="1"/>
  <c r="G33" i="31"/>
  <c r="G32" i="30"/>
  <c r="H35" i="28"/>
  <c r="I55" i="19" l="1"/>
  <c r="D61" i="31"/>
  <c r="E61" i="31"/>
  <c r="J55" i="11"/>
  <c r="J55" i="19"/>
  <c r="W47" i="36"/>
  <c r="P51" i="36"/>
  <c r="P58" i="31"/>
  <c r="K41" i="11"/>
  <c r="J50" i="28" s="1"/>
  <c r="G53" i="11"/>
  <c r="N48" i="31"/>
  <c r="P41" i="11"/>
  <c r="K51" i="36"/>
  <c r="U47" i="36"/>
  <c r="K51" i="37"/>
  <c r="K43" i="19"/>
  <c r="K52" i="28" s="1"/>
  <c r="P43" i="19"/>
  <c r="Q43" i="19" s="1"/>
  <c r="O50" i="31"/>
  <c r="U37" i="37"/>
  <c r="P51" i="37"/>
  <c r="Q51" i="37" s="1"/>
  <c r="Q58" i="31"/>
  <c r="H55" i="19"/>
  <c r="K44" i="31"/>
  <c r="S38" i="37"/>
  <c r="T38" i="37" s="1"/>
  <c r="R38" i="37" s="1"/>
  <c r="M59" i="28"/>
  <c r="Z37" i="37"/>
  <c r="AC37" i="37"/>
  <c r="W37" i="37"/>
  <c r="AB36" i="37"/>
  <c r="AA37" i="37"/>
  <c r="K43" i="30"/>
  <c r="G52" i="37"/>
  <c r="J54" i="31"/>
  <c r="S48" i="36"/>
  <c r="T48" i="36" s="1"/>
  <c r="R48" i="36" s="1"/>
  <c r="AB46" i="36"/>
  <c r="AA47" i="36"/>
  <c r="G52" i="36"/>
  <c r="Q51" i="36"/>
  <c r="L59" i="28"/>
  <c r="AD46" i="36"/>
  <c r="AC47" i="36"/>
  <c r="J53" i="30"/>
  <c r="X48" i="36"/>
  <c r="Y48" i="36" s="1"/>
  <c r="W48" i="36" s="1"/>
  <c r="B55" i="11"/>
  <c r="H55" i="11"/>
  <c r="AE55" i="11"/>
  <c r="AF55" i="11" s="1"/>
  <c r="F63" i="25" s="1"/>
  <c r="M55" i="11"/>
  <c r="N55" i="11" s="1"/>
  <c r="D55" i="11"/>
  <c r="H64" i="28" s="1"/>
  <c r="O55" i="11"/>
  <c r="C61" i="30"/>
  <c r="C63" i="28"/>
  <c r="C62" i="25"/>
  <c r="H53" i="33"/>
  <c r="E54" i="11"/>
  <c r="F54" i="11" s="1"/>
  <c r="V55" i="11"/>
  <c r="D63" i="28"/>
  <c r="D62" i="25"/>
  <c r="D61" i="30"/>
  <c r="I53" i="33"/>
  <c r="J53" i="33"/>
  <c r="E61" i="30"/>
  <c r="E63" i="28"/>
  <c r="E62" i="25"/>
  <c r="F54" i="19"/>
  <c r="M55" i="19"/>
  <c r="N55" i="19" s="1"/>
  <c r="B55" i="19"/>
  <c r="AE55" i="19"/>
  <c r="AF55" i="19" s="1"/>
  <c r="G63" i="25" s="1"/>
  <c r="E55" i="19"/>
  <c r="L60" i="31"/>
  <c r="M60" i="31"/>
  <c r="V55" i="19"/>
  <c r="O55" i="19"/>
  <c r="D43" i="19"/>
  <c r="I51" i="28"/>
  <c r="L52" i="19"/>
  <c r="G60" i="28"/>
  <c r="G44" i="19"/>
  <c r="L47" i="11"/>
  <c r="F55" i="28"/>
  <c r="I42" i="11"/>
  <c r="Q41" i="11"/>
  <c r="Z27" i="19"/>
  <c r="G33" i="30"/>
  <c r="AC27" i="19"/>
  <c r="AD27" i="19" s="1"/>
  <c r="L25" i="33"/>
  <c r="H36" i="28"/>
  <c r="U48" i="36" l="1"/>
  <c r="P52" i="36"/>
  <c r="P59" i="31"/>
  <c r="K42" i="11"/>
  <c r="J51" i="28" s="1"/>
  <c r="G54" i="11"/>
  <c r="N49" i="31"/>
  <c r="P42" i="11"/>
  <c r="K52" i="36"/>
  <c r="U38" i="37"/>
  <c r="K52" i="37"/>
  <c r="P44" i="19"/>
  <c r="O51" i="31"/>
  <c r="P52" i="37"/>
  <c r="Q59" i="31"/>
  <c r="K44" i="19"/>
  <c r="K53" i="28" s="1"/>
  <c r="K45" i="31"/>
  <c r="S39" i="37"/>
  <c r="T39" i="37" s="1"/>
  <c r="U39" i="37" s="1"/>
  <c r="AD37" i="37"/>
  <c r="AB37" i="37"/>
  <c r="AA38" i="37"/>
  <c r="G53" i="37"/>
  <c r="Q52" i="37"/>
  <c r="M60" i="28"/>
  <c r="K44" i="30"/>
  <c r="X38" i="37"/>
  <c r="Y38" i="37" s="1"/>
  <c r="Z38" i="37" s="1"/>
  <c r="X49" i="36"/>
  <c r="Y49" i="36" s="1"/>
  <c r="W49" i="36" s="1"/>
  <c r="J55" i="31"/>
  <c r="S49" i="36"/>
  <c r="T49" i="36" s="1"/>
  <c r="R49" i="36" s="1"/>
  <c r="J56" i="31" s="1"/>
  <c r="J54" i="30"/>
  <c r="L60" i="28"/>
  <c r="G53" i="36"/>
  <c r="Q52" i="36"/>
  <c r="Z48" i="36"/>
  <c r="AB47" i="36"/>
  <c r="AA48" i="36"/>
  <c r="AD47" i="36"/>
  <c r="AC48" i="36"/>
  <c r="C62" i="31"/>
  <c r="H54" i="33"/>
  <c r="C63" i="25"/>
  <c r="C62" i="30"/>
  <c r="C64" i="28"/>
  <c r="E55" i="11"/>
  <c r="F55" i="11" s="1"/>
  <c r="D62" i="30"/>
  <c r="D62" i="31"/>
  <c r="D63" i="25"/>
  <c r="D64" i="28"/>
  <c r="I54" i="33"/>
  <c r="J54" i="33"/>
  <c r="Q42" i="11"/>
  <c r="F55" i="19"/>
  <c r="M61" i="31"/>
  <c r="L61" i="31"/>
  <c r="E64" i="28"/>
  <c r="E63" i="25"/>
  <c r="E62" i="30"/>
  <c r="E62" i="31"/>
  <c r="G45" i="19"/>
  <c r="L53" i="19"/>
  <c r="G61" i="28"/>
  <c r="D44" i="19"/>
  <c r="I52" i="28"/>
  <c r="Q44" i="19"/>
  <c r="I43" i="11"/>
  <c r="L48" i="11"/>
  <c r="F56" i="28"/>
  <c r="L26" i="33"/>
  <c r="X28" i="19"/>
  <c r="Y28" i="19" s="1"/>
  <c r="W28" i="19" s="1"/>
  <c r="G34" i="31"/>
  <c r="G34" i="30"/>
  <c r="H37" i="28"/>
  <c r="K43" i="11" l="1"/>
  <c r="J52" i="28" s="1"/>
  <c r="P53" i="36"/>
  <c r="P60" i="31"/>
  <c r="G55" i="11"/>
  <c r="N50" i="31"/>
  <c r="P43" i="11"/>
  <c r="K53" i="36"/>
  <c r="Z49" i="36"/>
  <c r="U49" i="36"/>
  <c r="K45" i="19"/>
  <c r="P53" i="37"/>
  <c r="Q60" i="31"/>
  <c r="R39" i="37"/>
  <c r="K46" i="31" s="1"/>
  <c r="P45" i="19"/>
  <c r="Q45" i="19" s="1"/>
  <c r="O52" i="31"/>
  <c r="K53" i="37"/>
  <c r="S40" i="37"/>
  <c r="T40" i="37" s="1"/>
  <c r="U40" i="37" s="1"/>
  <c r="K45" i="30"/>
  <c r="AB38" i="37"/>
  <c r="AA39" i="37"/>
  <c r="W38" i="37"/>
  <c r="M61" i="28"/>
  <c r="G54" i="37"/>
  <c r="Q53" i="37"/>
  <c r="AC38" i="37"/>
  <c r="X50" i="36"/>
  <c r="Y50" i="36" s="1"/>
  <c r="W50" i="36" s="1"/>
  <c r="AD48" i="36"/>
  <c r="AC49" i="36"/>
  <c r="L61" i="28"/>
  <c r="S50" i="36"/>
  <c r="T50" i="36" s="1"/>
  <c r="R50" i="36" s="1"/>
  <c r="J57" i="31" s="1"/>
  <c r="AB48" i="36"/>
  <c r="AA49" i="36"/>
  <c r="J55" i="30"/>
  <c r="G54" i="36"/>
  <c r="Q53" i="36"/>
  <c r="K54" i="28"/>
  <c r="M62" i="31"/>
  <c r="L62" i="31"/>
  <c r="B142" i="17" s="1"/>
  <c r="D45" i="19"/>
  <c r="I53" i="28"/>
  <c r="L54" i="19"/>
  <c r="G62" i="28"/>
  <c r="G46" i="19"/>
  <c r="L49" i="11"/>
  <c r="F57" i="28"/>
  <c r="I44" i="11"/>
  <c r="Q43" i="11"/>
  <c r="Z28" i="19"/>
  <c r="AC28" i="19"/>
  <c r="AD28" i="19" s="1"/>
  <c r="H38" i="28"/>
  <c r="P54" i="36" l="1"/>
  <c r="Q54" i="36" s="1"/>
  <c r="P61" i="31"/>
  <c r="U50" i="36"/>
  <c r="K44" i="11"/>
  <c r="J53" i="28" s="1"/>
  <c r="N51" i="31"/>
  <c r="P44" i="11"/>
  <c r="Q44" i="11" s="1"/>
  <c r="K54" i="36"/>
  <c r="P46" i="19"/>
  <c r="Q46" i="19" s="1"/>
  <c r="O53" i="31"/>
  <c r="K54" i="37"/>
  <c r="P54" i="37"/>
  <c r="Q54" i="37" s="1"/>
  <c r="Q55" i="37" s="1"/>
  <c r="Q61" i="31"/>
  <c r="C146" i="17" s="1"/>
  <c r="K46" i="19"/>
  <c r="R40" i="37"/>
  <c r="K47" i="31" s="1"/>
  <c r="S41" i="37"/>
  <c r="T41" i="37" s="1"/>
  <c r="U41" i="37" s="1"/>
  <c r="K46" i="30"/>
  <c r="X39" i="37"/>
  <c r="Y39" i="37" s="1"/>
  <c r="Z39" i="37" s="1"/>
  <c r="G55" i="37"/>
  <c r="P55" i="37" s="1"/>
  <c r="AB39" i="37"/>
  <c r="AA40" i="37"/>
  <c r="AD38" i="37"/>
  <c r="M62" i="28"/>
  <c r="S51" i="36"/>
  <c r="T51" i="36" s="1"/>
  <c r="R51" i="36" s="1"/>
  <c r="J58" i="31" s="1"/>
  <c r="X51" i="36"/>
  <c r="Y51" i="36" s="1"/>
  <c r="W51" i="36" s="1"/>
  <c r="J56" i="30"/>
  <c r="L62" i="28"/>
  <c r="G55" i="36"/>
  <c r="AB49" i="36"/>
  <c r="AA50" i="36"/>
  <c r="Z50" i="36"/>
  <c r="AD49" i="36"/>
  <c r="AC50" i="36"/>
  <c r="L55" i="19"/>
  <c r="G64" i="28" s="1"/>
  <c r="G63" i="28"/>
  <c r="G47" i="19"/>
  <c r="D46" i="19"/>
  <c r="I54" i="28"/>
  <c r="L50" i="11"/>
  <c r="F58" i="28"/>
  <c r="I45" i="11"/>
  <c r="G35" i="30"/>
  <c r="X29" i="19"/>
  <c r="Y29" i="19" s="1"/>
  <c r="W29" i="19" s="1"/>
  <c r="G35" i="31"/>
  <c r="L27" i="33"/>
  <c r="H39" i="28"/>
  <c r="Z51" i="36" l="1"/>
  <c r="K55" i="36"/>
  <c r="AC39" i="37"/>
  <c r="AD39" i="37" s="1"/>
  <c r="P45" i="11"/>
  <c r="N52" i="31"/>
  <c r="P55" i="36"/>
  <c r="Q55" i="36" s="1"/>
  <c r="P62" i="31"/>
  <c r="B146" i="17" s="1"/>
  <c r="U51" i="36"/>
  <c r="K45" i="11"/>
  <c r="K47" i="19"/>
  <c r="K56" i="28" s="1"/>
  <c r="W39" i="37"/>
  <c r="X40" i="37" s="1"/>
  <c r="Y40" i="37" s="1"/>
  <c r="R41" i="37"/>
  <c r="K55" i="37"/>
  <c r="P47" i="19"/>
  <c r="Q47" i="19" s="1"/>
  <c r="O54" i="31"/>
  <c r="K55" i="28"/>
  <c r="M63" i="28"/>
  <c r="AB40" i="37"/>
  <c r="AA41" i="37"/>
  <c r="K47" i="30"/>
  <c r="J57" i="30"/>
  <c r="AB50" i="36"/>
  <c r="AA51" i="36"/>
  <c r="S52" i="36"/>
  <c r="T52" i="36" s="1"/>
  <c r="R52" i="36" s="1"/>
  <c r="J59" i="31" s="1"/>
  <c r="AD50" i="36"/>
  <c r="AC51" i="36"/>
  <c r="L63" i="28"/>
  <c r="X52" i="36"/>
  <c r="Y52" i="36" s="1"/>
  <c r="Z52" i="36" s="1"/>
  <c r="Q45" i="11"/>
  <c r="G48" i="19"/>
  <c r="D47" i="19"/>
  <c r="I55" i="28"/>
  <c r="I46" i="11"/>
  <c r="L51" i="11"/>
  <c r="F59" i="28"/>
  <c r="Z29" i="19"/>
  <c r="AC29" i="19"/>
  <c r="AD29" i="19" s="1"/>
  <c r="H40" i="28"/>
  <c r="AC40" i="37" l="1"/>
  <c r="AD40" i="37" s="1"/>
  <c r="W40" i="37"/>
  <c r="U52" i="36"/>
  <c r="N53" i="31"/>
  <c r="P46" i="11"/>
  <c r="K46" i="11"/>
  <c r="Z40" i="37"/>
  <c r="S42" i="37"/>
  <c r="T42" i="37" s="1"/>
  <c r="U42" i="37" s="1"/>
  <c r="P48" i="19"/>
  <c r="Q48" i="19" s="1"/>
  <c r="O55" i="31"/>
  <c r="K48" i="31"/>
  <c r="K48" i="19"/>
  <c r="J54" i="28"/>
  <c r="X41" i="37"/>
  <c r="Y41" i="37" s="1"/>
  <c r="W41" i="37" s="1"/>
  <c r="M64" i="28"/>
  <c r="AB41" i="37"/>
  <c r="K48" i="30"/>
  <c r="L64" i="28"/>
  <c r="S53" i="36"/>
  <c r="T53" i="36" s="1"/>
  <c r="R53" i="36" s="1"/>
  <c r="J60" i="31" s="1"/>
  <c r="J58" i="30"/>
  <c r="AD51" i="36"/>
  <c r="AC52" i="36"/>
  <c r="W52" i="36"/>
  <c r="AB51" i="36"/>
  <c r="AA52" i="36"/>
  <c r="D48" i="19"/>
  <c r="I56" i="28"/>
  <c r="G49" i="19"/>
  <c r="L52" i="11"/>
  <c r="F60" i="28"/>
  <c r="I47" i="11"/>
  <c r="Q46" i="11"/>
  <c r="L28" i="33"/>
  <c r="G36" i="30"/>
  <c r="X30" i="19"/>
  <c r="Y30" i="19" s="1"/>
  <c r="Z30" i="19" s="1"/>
  <c r="G36" i="31"/>
  <c r="H41" i="28"/>
  <c r="AA42" i="37" l="1"/>
  <c r="K47" i="11"/>
  <c r="J56" i="28" s="1"/>
  <c r="U53" i="36"/>
  <c r="N54" i="31"/>
  <c r="P47" i="11"/>
  <c r="J55" i="28"/>
  <c r="Z41" i="37"/>
  <c r="AC41" i="37"/>
  <c r="AD41" i="37" s="1"/>
  <c r="K49" i="19"/>
  <c r="K58" i="28" s="1"/>
  <c r="P49" i="19"/>
  <c r="Q49" i="19" s="1"/>
  <c r="O56" i="31"/>
  <c r="R42" i="37"/>
  <c r="K57" i="28"/>
  <c r="X42" i="37"/>
  <c r="Y42" i="37" s="1"/>
  <c r="K49" i="30"/>
  <c r="AB42" i="37"/>
  <c r="AB52" i="36"/>
  <c r="AA53" i="36"/>
  <c r="X53" i="36"/>
  <c r="Y53" i="36" s="1"/>
  <c r="Z53" i="36" s="1"/>
  <c r="S54" i="36"/>
  <c r="T54" i="36" s="1"/>
  <c r="R54" i="36" s="1"/>
  <c r="J61" i="31" s="1"/>
  <c r="Q47" i="11"/>
  <c r="AD52" i="36"/>
  <c r="J59" i="30"/>
  <c r="G50" i="19"/>
  <c r="D49" i="19"/>
  <c r="I57" i="28"/>
  <c r="L53" i="11"/>
  <c r="F61" i="28"/>
  <c r="I48" i="11"/>
  <c r="AC30" i="19"/>
  <c r="W30" i="19"/>
  <c r="G37" i="30"/>
  <c r="H42" i="28"/>
  <c r="Z42" i="37" l="1"/>
  <c r="N55" i="31"/>
  <c r="P48" i="11"/>
  <c r="K48" i="11"/>
  <c r="J57" i="28" s="1"/>
  <c r="U54" i="36"/>
  <c r="AC42" i="37"/>
  <c r="AD42" i="37" s="1"/>
  <c r="W42" i="37"/>
  <c r="X43" i="37" s="1"/>
  <c r="Y43" i="37" s="1"/>
  <c r="Z43" i="37" s="1"/>
  <c r="K49" i="31"/>
  <c r="S43" i="37"/>
  <c r="T43" i="37" s="1"/>
  <c r="R43" i="37" s="1"/>
  <c r="K50" i="19"/>
  <c r="K59" i="28" s="1"/>
  <c r="P50" i="19"/>
  <c r="Q50" i="19" s="1"/>
  <c r="O57" i="31"/>
  <c r="S55" i="36"/>
  <c r="T55" i="36" s="1"/>
  <c r="R55" i="36" s="1"/>
  <c r="J62" i="31" s="1"/>
  <c r="B160" i="17" s="1"/>
  <c r="J60" i="30"/>
  <c r="AB53" i="36"/>
  <c r="AA54" i="36"/>
  <c r="AC53" i="36"/>
  <c r="W53" i="36"/>
  <c r="D50" i="19"/>
  <c r="I58" i="28"/>
  <c r="G51" i="19"/>
  <c r="I49" i="11"/>
  <c r="Q48" i="11"/>
  <c r="L54" i="11"/>
  <c r="F62" i="28"/>
  <c r="X31" i="19"/>
  <c r="Y31" i="19" s="1"/>
  <c r="Z31" i="19" s="1"/>
  <c r="AD30" i="19"/>
  <c r="L29" i="33" s="1"/>
  <c r="G37" i="31"/>
  <c r="H43" i="28"/>
  <c r="N56" i="31" l="1"/>
  <c r="P49" i="11"/>
  <c r="U55" i="36"/>
  <c r="J62" i="30" s="1"/>
  <c r="B153" i="17" s="1"/>
  <c r="K49" i="11"/>
  <c r="J58" i="28" s="1"/>
  <c r="AC43" i="37"/>
  <c r="S44" i="37"/>
  <c r="T44" i="37" s="1"/>
  <c r="R44" i="37" s="1"/>
  <c r="K50" i="31"/>
  <c r="U43" i="37"/>
  <c r="AA43" i="37"/>
  <c r="P51" i="19"/>
  <c r="O58" i="31"/>
  <c r="K51" i="19"/>
  <c r="W43" i="37"/>
  <c r="AD43" i="37"/>
  <c r="J61" i="30"/>
  <c r="AB54" i="36"/>
  <c r="AA55" i="36"/>
  <c r="AB55" i="36" s="1"/>
  <c r="X54" i="36"/>
  <c r="Y54" i="36" s="1"/>
  <c r="Z54" i="36" s="1"/>
  <c r="AD53" i="36"/>
  <c r="AC31" i="19"/>
  <c r="AD31" i="19" s="1"/>
  <c r="L30" i="33" s="1"/>
  <c r="D51" i="19"/>
  <c r="I59" i="28"/>
  <c r="Q51" i="19"/>
  <c r="G52" i="19"/>
  <c r="I50" i="11"/>
  <c r="Q49" i="11"/>
  <c r="L55" i="11"/>
  <c r="F64" i="28" s="1"/>
  <c r="F63" i="28"/>
  <c r="G38" i="30"/>
  <c r="W31" i="19"/>
  <c r="H44" i="28"/>
  <c r="AC54" i="36" l="1"/>
  <c r="AD54" i="36" s="1"/>
  <c r="K50" i="11"/>
  <c r="J59" i="28" s="1"/>
  <c r="N57" i="31"/>
  <c r="P50" i="11"/>
  <c r="Q50" i="11" s="1"/>
  <c r="S45" i="37"/>
  <c r="T45" i="37" s="1"/>
  <c r="R45" i="37" s="1"/>
  <c r="K51" i="31"/>
  <c r="K52" i="19"/>
  <c r="U44" i="37"/>
  <c r="K50" i="30"/>
  <c r="P52" i="19"/>
  <c r="O59" i="31"/>
  <c r="K60" i="28"/>
  <c r="AB43" i="37"/>
  <c r="AA44" i="37"/>
  <c r="K61" i="28"/>
  <c r="Q52" i="19"/>
  <c r="X44" i="37"/>
  <c r="Y44" i="37" s="1"/>
  <c r="W44" i="37" s="1"/>
  <c r="W54" i="36"/>
  <c r="D52" i="19"/>
  <c r="I60" i="28"/>
  <c r="G53" i="19"/>
  <c r="I51" i="11"/>
  <c r="X32" i="19"/>
  <c r="Y32" i="19" s="1"/>
  <c r="G38" i="31"/>
  <c r="H45" i="28"/>
  <c r="N58" i="31" l="1"/>
  <c r="P51" i="11"/>
  <c r="Q51" i="11" s="1"/>
  <c r="K51" i="11"/>
  <c r="J60" i="28" s="1"/>
  <c r="K52" i="31"/>
  <c r="S46" i="37"/>
  <c r="T46" i="37" s="1"/>
  <c r="R46" i="37" s="1"/>
  <c r="K53" i="19"/>
  <c r="AB44" i="37"/>
  <c r="AA45" i="37"/>
  <c r="P53" i="19"/>
  <c r="Q53" i="19" s="1"/>
  <c r="O60" i="31"/>
  <c r="U45" i="37"/>
  <c r="K51" i="30"/>
  <c r="X45" i="37"/>
  <c r="Y45" i="37" s="1"/>
  <c r="W45" i="37" s="1"/>
  <c r="Z44" i="37"/>
  <c r="AC44" i="37"/>
  <c r="X55" i="36"/>
  <c r="Y55" i="36" s="1"/>
  <c r="D53" i="19"/>
  <c r="I61" i="28"/>
  <c r="G54" i="19"/>
  <c r="I52" i="11"/>
  <c r="Z32" i="19"/>
  <c r="AC32" i="19"/>
  <c r="W32" i="19"/>
  <c r="H46" i="28"/>
  <c r="N59" i="31" l="1"/>
  <c r="P52" i="11"/>
  <c r="Q52" i="11" s="1"/>
  <c r="K52" i="11"/>
  <c r="Z45" i="37"/>
  <c r="S47" i="37"/>
  <c r="T47" i="37" s="1"/>
  <c r="R47" i="37" s="1"/>
  <c r="K53" i="31"/>
  <c r="K54" i="19"/>
  <c r="K63" i="28" s="1"/>
  <c r="K62" i="28"/>
  <c r="AB45" i="37"/>
  <c r="AA46" i="37"/>
  <c r="P54" i="19"/>
  <c r="Q54" i="19" s="1"/>
  <c r="O61" i="31"/>
  <c r="U46" i="37"/>
  <c r="K52" i="30"/>
  <c r="X46" i="37"/>
  <c r="Y46" i="37" s="1"/>
  <c r="W46" i="37" s="1"/>
  <c r="AD44" i="37"/>
  <c r="AC45" i="37"/>
  <c r="Z55" i="36"/>
  <c r="AC55" i="36"/>
  <c r="AD55" i="36" s="1"/>
  <c r="W55" i="36"/>
  <c r="G55" i="19"/>
  <c r="P55" i="19" s="1"/>
  <c r="D54" i="19"/>
  <c r="I62" i="28"/>
  <c r="I53" i="11"/>
  <c r="G39" i="31"/>
  <c r="X33" i="19"/>
  <c r="Y33" i="19" s="1"/>
  <c r="W33" i="19" s="1"/>
  <c r="AD32" i="19"/>
  <c r="L31" i="33" s="1"/>
  <c r="G39" i="30"/>
  <c r="H47" i="28"/>
  <c r="K53" i="11" l="1"/>
  <c r="N60" i="31"/>
  <c r="P53" i="11"/>
  <c r="J61" i="28"/>
  <c r="K54" i="31"/>
  <c r="S48" i="37"/>
  <c r="T48" i="37" s="1"/>
  <c r="R48" i="37" s="1"/>
  <c r="K55" i="19"/>
  <c r="K64" i="28" s="1"/>
  <c r="AB46" i="37"/>
  <c r="AA47" i="37"/>
  <c r="U47" i="37"/>
  <c r="K53" i="30"/>
  <c r="Z46" i="37"/>
  <c r="O62" i="31"/>
  <c r="C144" i="17" s="1"/>
  <c r="X47" i="37"/>
  <c r="Y47" i="37" s="1"/>
  <c r="W47" i="37" s="1"/>
  <c r="AD45" i="37"/>
  <c r="AC46" i="37"/>
  <c r="J62" i="28"/>
  <c r="Q55" i="19"/>
  <c r="C142" i="17"/>
  <c r="D55" i="19"/>
  <c r="I64" i="28" s="1"/>
  <c r="I63" i="28"/>
  <c r="I54" i="11"/>
  <c r="Q53" i="11"/>
  <c r="X34" i="19"/>
  <c r="Y34" i="19" s="1"/>
  <c r="W34" i="19" s="1"/>
  <c r="G40" i="31"/>
  <c r="Z33" i="19"/>
  <c r="AC33" i="19"/>
  <c r="H48" i="28"/>
  <c r="N61" i="31" l="1"/>
  <c r="P54" i="11"/>
  <c r="Q54" i="11" s="1"/>
  <c r="K54" i="11"/>
  <c r="K55" i="31"/>
  <c r="S49" i="37"/>
  <c r="T49" i="37" s="1"/>
  <c r="R49" i="37" s="1"/>
  <c r="K56" i="31" s="1"/>
  <c r="U48" i="37"/>
  <c r="K54" i="30"/>
  <c r="AA48" i="37"/>
  <c r="AB47" i="37"/>
  <c r="X48" i="37"/>
  <c r="Y48" i="37" s="1"/>
  <c r="W48" i="37" s="1"/>
  <c r="AD46" i="37"/>
  <c r="AC47" i="37"/>
  <c r="Z47" i="37"/>
  <c r="I55" i="11"/>
  <c r="P55" i="11" s="1"/>
  <c r="X35" i="19"/>
  <c r="Y35" i="19" s="1"/>
  <c r="W35" i="19" s="1"/>
  <c r="G41" i="31"/>
  <c r="Z34" i="19"/>
  <c r="G40" i="30"/>
  <c r="AD33" i="19"/>
  <c r="L32" i="33" s="1"/>
  <c r="AC34" i="19"/>
  <c r="H49" i="28"/>
  <c r="K55" i="11" l="1"/>
  <c r="J64" i="28" s="1"/>
  <c r="J63" i="28"/>
  <c r="S50" i="37"/>
  <c r="T50" i="37" s="1"/>
  <c r="R50" i="37" s="1"/>
  <c r="K57" i="31" s="1"/>
  <c r="U49" i="37"/>
  <c r="K55" i="30"/>
  <c r="AB48" i="37"/>
  <c r="AA49" i="37"/>
  <c r="X49" i="37"/>
  <c r="Y49" i="37" s="1"/>
  <c r="W49" i="37" s="1"/>
  <c r="Z48" i="37"/>
  <c r="AD47" i="37"/>
  <c r="AC48" i="37"/>
  <c r="N62" i="31"/>
  <c r="B144" i="17" s="1"/>
  <c r="Q55" i="11"/>
  <c r="G42" i="31"/>
  <c r="X36" i="19"/>
  <c r="Y36" i="19" s="1"/>
  <c r="W36" i="19" s="1"/>
  <c r="AD34" i="19"/>
  <c r="L33" i="33" s="1"/>
  <c r="AC35" i="19"/>
  <c r="Z35" i="19"/>
  <c r="G41" i="30"/>
  <c r="H50" i="28"/>
  <c r="C160" i="17" l="1"/>
  <c r="S51" i="37"/>
  <c r="T51" i="37" s="1"/>
  <c r="R51" i="37" s="1"/>
  <c r="K58" i="31" s="1"/>
  <c r="U50" i="37"/>
  <c r="K56" i="30"/>
  <c r="AB49" i="37"/>
  <c r="AA50" i="37"/>
  <c r="Z49" i="37"/>
  <c r="W50" i="37"/>
  <c r="X50" i="37"/>
  <c r="Y50" i="37" s="1"/>
  <c r="AD48" i="37"/>
  <c r="AC49" i="37"/>
  <c r="G43" i="31"/>
  <c r="X37" i="19"/>
  <c r="Y37" i="19" s="1"/>
  <c r="W37" i="19" s="1"/>
  <c r="AD35" i="19"/>
  <c r="L34" i="33" s="1"/>
  <c r="AC36" i="19"/>
  <c r="Z36" i="19"/>
  <c r="G42" i="30"/>
  <c r="H51" i="28"/>
  <c r="Z50" i="37" l="1"/>
  <c r="S52" i="37"/>
  <c r="T52" i="37" s="1"/>
  <c r="R52" i="37" s="1"/>
  <c r="K59" i="31" s="1"/>
  <c r="U51" i="37"/>
  <c r="K57" i="30"/>
  <c r="AA51" i="37"/>
  <c r="AB50" i="37"/>
  <c r="X51" i="37"/>
  <c r="Y51" i="37" s="1"/>
  <c r="W51" i="37" s="1"/>
  <c r="AD49" i="37"/>
  <c r="AC50" i="37"/>
  <c r="AD36" i="19"/>
  <c r="L35" i="33" s="1"/>
  <c r="AC37" i="19"/>
  <c r="Z37" i="19"/>
  <c r="G43" i="30"/>
  <c r="X38" i="19"/>
  <c r="Y38" i="19" s="1"/>
  <c r="W38" i="19" s="1"/>
  <c r="G44" i="31"/>
  <c r="H52" i="28"/>
  <c r="T6" i="19"/>
  <c r="Z51" i="37" l="1"/>
  <c r="R6" i="19"/>
  <c r="U6" i="19"/>
  <c r="S53" i="37"/>
  <c r="T53" i="37" s="1"/>
  <c r="R53" i="37" s="1"/>
  <c r="K60" i="31" s="1"/>
  <c r="U52" i="37"/>
  <c r="K58" i="30"/>
  <c r="AB51" i="37"/>
  <c r="AA52" i="37"/>
  <c r="X52" i="37"/>
  <c r="Y52" i="37" s="1"/>
  <c r="W52" i="37" s="1"/>
  <c r="AD50" i="37"/>
  <c r="AC51" i="37"/>
  <c r="AA6" i="19"/>
  <c r="AB6" i="19" s="1"/>
  <c r="N5" i="33" s="1"/>
  <c r="G45" i="31"/>
  <c r="X39" i="19"/>
  <c r="Y39" i="19" s="1"/>
  <c r="W39" i="19" s="1"/>
  <c r="Z38" i="19"/>
  <c r="G44" i="30"/>
  <c r="AD37" i="19"/>
  <c r="L36" i="33" s="1"/>
  <c r="AC38" i="19"/>
  <c r="H53" i="28"/>
  <c r="H54" i="28"/>
  <c r="S54" i="37" l="1"/>
  <c r="T54" i="37" s="1"/>
  <c r="R54" i="37" s="1"/>
  <c r="K61" i="31" s="1"/>
  <c r="U53" i="37"/>
  <c r="K59" i="30"/>
  <c r="AB52" i="37"/>
  <c r="AA53" i="37"/>
  <c r="X53" i="37"/>
  <c r="Y53" i="37" s="1"/>
  <c r="W53" i="37" s="1"/>
  <c r="AD51" i="37"/>
  <c r="AC52" i="37"/>
  <c r="Z52" i="37"/>
  <c r="Z53" i="37" s="1"/>
  <c r="Z39" i="19"/>
  <c r="G45" i="30"/>
  <c r="AD38" i="19"/>
  <c r="L37" i="33" s="1"/>
  <c r="AC39" i="19"/>
  <c r="G46" i="31"/>
  <c r="X40" i="19"/>
  <c r="Y40" i="19" s="1"/>
  <c r="I13" i="31"/>
  <c r="S7" i="19"/>
  <c r="T7" i="19" s="1"/>
  <c r="R7" i="19" l="1"/>
  <c r="S8" i="19" s="1"/>
  <c r="U7" i="19"/>
  <c r="I14" i="30" s="1"/>
  <c r="R55" i="37"/>
  <c r="S55" i="37"/>
  <c r="T55" i="37" s="1"/>
  <c r="U54" i="37"/>
  <c r="K60" i="30"/>
  <c r="AB53" i="37"/>
  <c r="AA54" i="37"/>
  <c r="I13" i="30"/>
  <c r="AD52" i="37"/>
  <c r="AC53" i="37"/>
  <c r="X54" i="37"/>
  <c r="Y54" i="37" s="1"/>
  <c r="Z54" i="37" s="1"/>
  <c r="AA7" i="19"/>
  <c r="AB7" i="19" s="1"/>
  <c r="N6" i="33" s="1"/>
  <c r="W40" i="19"/>
  <c r="Z40" i="19"/>
  <c r="G46" i="30"/>
  <c r="AD39" i="19"/>
  <c r="L38" i="33" s="1"/>
  <c r="AC40" i="19"/>
  <c r="W54" i="37" l="1"/>
  <c r="U55" i="37"/>
  <c r="K62" i="30" s="1"/>
  <c r="C153" i="17" s="1"/>
  <c r="K61" i="30"/>
  <c r="AB54" i="37"/>
  <c r="AA55" i="37"/>
  <c r="AB55" i="37" s="1"/>
  <c r="X55" i="37"/>
  <c r="Y55" i="37" s="1"/>
  <c r="Z55" i="37" s="1"/>
  <c r="AD53" i="37"/>
  <c r="AC54" i="37"/>
  <c r="G47" i="30"/>
  <c r="AD40" i="19"/>
  <c r="L39" i="33" s="1"/>
  <c r="G47" i="31"/>
  <c r="X41" i="19"/>
  <c r="Y41" i="19" s="1"/>
  <c r="I14" i="31"/>
  <c r="T8" i="19"/>
  <c r="U8" i="19" s="1"/>
  <c r="R8" i="19" l="1"/>
  <c r="W55" i="37"/>
  <c r="AD54" i="37"/>
  <c r="AC55" i="37"/>
  <c r="AD55" i="37" s="1"/>
  <c r="AA8" i="19"/>
  <c r="W41" i="19"/>
  <c r="Z41" i="19"/>
  <c r="AC41" i="19"/>
  <c r="I15" i="30" l="1"/>
  <c r="AB8" i="19"/>
  <c r="N7" i="33" s="1"/>
  <c r="AD41" i="19"/>
  <c r="L40" i="33" s="1"/>
  <c r="G48" i="30"/>
  <c r="X42" i="19"/>
  <c r="Y42" i="19" s="1"/>
  <c r="Z42" i="19" s="1"/>
  <c r="G48" i="31"/>
  <c r="S9" i="19"/>
  <c r="T9" i="19" s="1"/>
  <c r="I15" i="31"/>
  <c r="R9" i="19" l="1"/>
  <c r="I16" i="31" s="1"/>
  <c r="U9" i="19"/>
  <c r="AA9" i="19"/>
  <c r="G49" i="30"/>
  <c r="W42" i="19"/>
  <c r="AC42" i="19"/>
  <c r="S10" i="19" l="1"/>
  <c r="T10" i="19" s="1"/>
  <c r="U10" i="19" s="1"/>
  <c r="AB9" i="19"/>
  <c r="N8" i="33" s="1"/>
  <c r="AD42" i="19"/>
  <c r="L41" i="33" s="1"/>
  <c r="X43" i="19"/>
  <c r="Y43" i="19" s="1"/>
  <c r="W43" i="19" s="1"/>
  <c r="G49" i="31"/>
  <c r="I16" i="30"/>
  <c r="R10" i="19" l="1"/>
  <c r="I17" i="31" s="1"/>
  <c r="AA10" i="19"/>
  <c r="AB10" i="19" s="1"/>
  <c r="N9" i="33" s="1"/>
  <c r="I17" i="30"/>
  <c r="Z43" i="19"/>
  <c r="X44" i="19"/>
  <c r="Y44" i="19" s="1"/>
  <c r="G50" i="31"/>
  <c r="AC43" i="19"/>
  <c r="S11" i="19" l="1"/>
  <c r="T11" i="19" s="1"/>
  <c r="W44" i="19"/>
  <c r="Z44" i="19"/>
  <c r="G50" i="30"/>
  <c r="AD43" i="19"/>
  <c r="L42" i="33" s="1"/>
  <c r="AC44" i="19"/>
  <c r="AA11" i="19" l="1"/>
  <c r="AB11" i="19" s="1"/>
  <c r="N10" i="33" s="1"/>
  <c r="U11" i="19"/>
  <c r="R11" i="19"/>
  <c r="S12" i="19" s="1"/>
  <c r="T12" i="19" s="1"/>
  <c r="R12" i="19" s="1"/>
  <c r="G51" i="30"/>
  <c r="AD44" i="19"/>
  <c r="L43" i="33" s="1"/>
  <c r="G51" i="31"/>
  <c r="X45" i="19"/>
  <c r="Y45" i="19" s="1"/>
  <c r="AC45" i="19" s="1"/>
  <c r="U12" i="19" l="1"/>
  <c r="I18" i="31"/>
  <c r="I18" i="30"/>
  <c r="S13" i="19"/>
  <c r="T13" i="19" s="1"/>
  <c r="R13" i="19" s="1"/>
  <c r="AA12" i="19"/>
  <c r="AB12" i="19" s="1"/>
  <c r="N11" i="33" s="1"/>
  <c r="AD45" i="19"/>
  <c r="L44" i="33" s="1"/>
  <c r="I19" i="31"/>
  <c r="W45" i="19"/>
  <c r="Z45" i="19"/>
  <c r="U13" i="19" l="1"/>
  <c r="I20" i="30" s="1"/>
  <c r="I19" i="30"/>
  <c r="AA13" i="19"/>
  <c r="AB13" i="19" s="1"/>
  <c r="N12" i="33" s="1"/>
  <c r="X46" i="19"/>
  <c r="Y46" i="19" s="1"/>
  <c r="W46" i="19" s="1"/>
  <c r="G52" i="31"/>
  <c r="G52" i="30"/>
  <c r="S14" i="19"/>
  <c r="T14" i="19" s="1"/>
  <c r="R14" i="19" s="1"/>
  <c r="I20" i="31"/>
  <c r="U14" i="19" l="1"/>
  <c r="I21" i="31"/>
  <c r="AA14" i="19"/>
  <c r="Z46" i="19"/>
  <c r="G53" i="30" s="1"/>
  <c r="X47" i="19"/>
  <c r="Y47" i="19" s="1"/>
  <c r="G53" i="31"/>
  <c r="AC46" i="19"/>
  <c r="AB14" i="19" l="1"/>
  <c r="N13" i="33" s="1"/>
  <c r="W47" i="19"/>
  <c r="G54" i="31" s="1"/>
  <c r="Z47" i="19"/>
  <c r="G54" i="30" s="1"/>
  <c r="AD46" i="19"/>
  <c r="L45" i="33" s="1"/>
  <c r="AC47" i="19"/>
  <c r="S15" i="19"/>
  <c r="T15" i="19" s="1"/>
  <c r="U15" i="19" s="1"/>
  <c r="I21" i="30"/>
  <c r="I22" i="30" l="1"/>
  <c r="R15" i="19"/>
  <c r="AA15" i="19"/>
  <c r="AB15" i="19" s="1"/>
  <c r="N14" i="33" s="1"/>
  <c r="X48" i="19"/>
  <c r="Y48" i="19" s="1"/>
  <c r="Z48" i="19" s="1"/>
  <c r="AD47" i="19"/>
  <c r="L46" i="33" s="1"/>
  <c r="AC48" i="19" l="1"/>
  <c r="AD48" i="19" s="1"/>
  <c r="L47" i="33" s="1"/>
  <c r="G55" i="30"/>
  <c r="W48" i="19"/>
  <c r="S16" i="19"/>
  <c r="T16" i="19" s="1"/>
  <c r="U16" i="19" s="1"/>
  <c r="I22" i="31"/>
  <c r="R16" i="19" l="1"/>
  <c r="AA16" i="19"/>
  <c r="X49" i="19"/>
  <c r="Y49" i="19" s="1"/>
  <c r="G55" i="31"/>
  <c r="AB16" i="19" l="1"/>
  <c r="N15" i="33" s="1"/>
  <c r="W49" i="19"/>
  <c r="G56" i="31" s="1"/>
  <c r="AC49" i="19"/>
  <c r="Z49" i="19"/>
  <c r="I23" i="30"/>
  <c r="S17" i="19"/>
  <c r="T17" i="19" s="1"/>
  <c r="U17" i="19" s="1"/>
  <c r="I23" i="31"/>
  <c r="R17" i="19" l="1"/>
  <c r="AA17" i="19"/>
  <c r="AB17" i="19" s="1"/>
  <c r="N16" i="33" s="1"/>
  <c r="G56" i="30"/>
  <c r="AD49" i="19"/>
  <c r="L48" i="33" s="1"/>
  <c r="X50" i="19"/>
  <c r="Y50" i="19" s="1"/>
  <c r="Z50" i="19" s="1"/>
  <c r="W50" i="19" l="1"/>
  <c r="G57" i="31" s="1"/>
  <c r="G57" i="30"/>
  <c r="AC50" i="19"/>
  <c r="I24" i="30"/>
  <c r="S18" i="19"/>
  <c r="T18" i="19" s="1"/>
  <c r="U18" i="19" s="1"/>
  <c r="I24" i="31"/>
  <c r="R18" i="19" l="1"/>
  <c r="X51" i="19"/>
  <c r="Y51" i="19" s="1"/>
  <c r="AC51" i="19" s="1"/>
  <c r="AD51" i="19" s="1"/>
  <c r="L50" i="33" s="1"/>
  <c r="AA18" i="19"/>
  <c r="AB18" i="19" s="1"/>
  <c r="AD50" i="19"/>
  <c r="L49" i="33" s="1"/>
  <c r="W51" i="19" l="1"/>
  <c r="G58" i="31" s="1"/>
  <c r="Z51" i="19"/>
  <c r="G58" i="30" s="1"/>
  <c r="I25" i="30"/>
  <c r="N17" i="33"/>
  <c r="S19" i="19"/>
  <c r="T19" i="19" s="1"/>
  <c r="U19" i="19" s="1"/>
  <c r="I25" i="31"/>
  <c r="R19" i="19" l="1"/>
  <c r="I26" i="31" s="1"/>
  <c r="X52" i="19"/>
  <c r="Y52" i="19" s="1"/>
  <c r="AA19" i="19"/>
  <c r="AB19" i="19" s="1"/>
  <c r="W52" i="19" l="1"/>
  <c r="G59" i="31" s="1"/>
  <c r="AC52" i="19"/>
  <c r="Z52" i="19"/>
  <c r="S20" i="19"/>
  <c r="T20" i="19" s="1"/>
  <c r="U20" i="19" s="1"/>
  <c r="I26" i="30"/>
  <c r="N18" i="33"/>
  <c r="AA20" i="19" l="1"/>
  <c r="AB20" i="19" s="1"/>
  <c r="N19" i="33" s="1"/>
  <c r="R20" i="19"/>
  <c r="G59" i="30"/>
  <c r="AD52" i="19"/>
  <c r="L51" i="33" s="1"/>
  <c r="X53" i="19"/>
  <c r="Y53" i="19" s="1"/>
  <c r="W53" i="19" s="1"/>
  <c r="G60" i="31" s="1"/>
  <c r="AC53" i="19" l="1"/>
  <c r="AD53" i="19" s="1"/>
  <c r="L52" i="33" s="1"/>
  <c r="Z53" i="19"/>
  <c r="X54" i="19"/>
  <c r="Y54" i="19" s="1"/>
  <c r="AC54" i="19" s="1"/>
  <c r="AD54" i="19" s="1"/>
  <c r="L53" i="33" s="1"/>
  <c r="I27" i="30"/>
  <c r="S21" i="19"/>
  <c r="T21" i="19" s="1"/>
  <c r="U21" i="19" s="1"/>
  <c r="I27" i="31"/>
  <c r="R21" i="19" l="1"/>
  <c r="Z54" i="19"/>
  <c r="G60" i="30"/>
  <c r="W54" i="19"/>
  <c r="G61" i="31" s="1"/>
  <c r="AA21" i="19"/>
  <c r="AB21" i="19" s="1"/>
  <c r="X55" i="19" l="1"/>
  <c r="Y55" i="19" s="1"/>
  <c r="AC55" i="19" s="1"/>
  <c r="AD55" i="19" s="1"/>
  <c r="L54" i="33" s="1"/>
  <c r="G61" i="30"/>
  <c r="N20" i="33"/>
  <c r="I28" i="30"/>
  <c r="S22" i="19"/>
  <c r="T22" i="19" s="1"/>
  <c r="U22" i="19" s="1"/>
  <c r="I28" i="31"/>
  <c r="R22" i="19" l="1"/>
  <c r="W55" i="19"/>
  <c r="G62" i="31" s="1"/>
  <c r="C156" i="17" s="1"/>
  <c r="Z55" i="19"/>
  <c r="G62" i="30" s="1"/>
  <c r="C149" i="17" s="1"/>
  <c r="AA22" i="19"/>
  <c r="AB22" i="19" s="1"/>
  <c r="N21" i="33" s="1"/>
  <c r="I29" i="30" l="1"/>
  <c r="S23" i="19"/>
  <c r="T23" i="19" s="1"/>
  <c r="U23" i="19" s="1"/>
  <c r="I29" i="31"/>
  <c r="R23" i="19" l="1"/>
  <c r="AA23" i="19"/>
  <c r="AB23" i="19" s="1"/>
  <c r="I30" i="30" l="1"/>
  <c r="N22" i="33"/>
  <c r="S24" i="19"/>
  <c r="T24" i="19" s="1"/>
  <c r="I30" i="31"/>
  <c r="R24" i="19" l="1"/>
  <c r="I31" i="31" s="1"/>
  <c r="U24" i="19"/>
  <c r="AA24" i="19"/>
  <c r="AB24" i="19" s="1"/>
  <c r="S25" i="19" l="1"/>
  <c r="T25" i="19" s="1"/>
  <c r="U25" i="19" s="1"/>
  <c r="I31" i="30"/>
  <c r="N23" i="33"/>
  <c r="AA25" i="19" l="1"/>
  <c r="AB25" i="19" s="1"/>
  <c r="N24" i="33" s="1"/>
  <c r="R25" i="19"/>
  <c r="I32" i="30" l="1"/>
  <c r="S26" i="19"/>
  <c r="T26" i="19" s="1"/>
  <c r="U26" i="19" s="1"/>
  <c r="I32" i="31"/>
  <c r="R26" i="19" l="1"/>
  <c r="AA26" i="19"/>
  <c r="AB26" i="19" s="1"/>
  <c r="I33" i="30" l="1"/>
  <c r="N25" i="33"/>
  <c r="S27" i="19"/>
  <c r="T27" i="19" s="1"/>
  <c r="U27" i="19" s="1"/>
  <c r="I33" i="31"/>
  <c r="R27" i="19" l="1"/>
  <c r="AA27" i="19"/>
  <c r="AB27" i="19" s="1"/>
  <c r="I34" i="30"/>
  <c r="N26" i="33" l="1"/>
  <c r="S28" i="19"/>
  <c r="T28" i="19" s="1"/>
  <c r="U28" i="19" s="1"/>
  <c r="I34" i="31"/>
  <c r="AA28" i="19" l="1"/>
  <c r="AB28" i="19" s="1"/>
  <c r="R28" i="19"/>
  <c r="I35" i="30" l="1"/>
  <c r="N27" i="33"/>
  <c r="S29" i="19"/>
  <c r="T29" i="19" s="1"/>
  <c r="I35" i="31"/>
  <c r="AA29" i="19" l="1"/>
  <c r="AB29" i="19" s="1"/>
  <c r="U29" i="19"/>
  <c r="I36" i="30" s="1"/>
  <c r="R29" i="19"/>
  <c r="N28" i="33" l="1"/>
  <c r="S30" i="19"/>
  <c r="T30" i="19" s="1"/>
  <c r="AA30" i="19" s="1"/>
  <c r="I36" i="31"/>
  <c r="U30" i="19" l="1"/>
  <c r="R30" i="19"/>
  <c r="S31" i="19" s="1"/>
  <c r="T31" i="19" s="1"/>
  <c r="AA31" i="19" s="1"/>
  <c r="AB30" i="19"/>
  <c r="N29" i="33" s="1"/>
  <c r="U31" i="19" l="1"/>
  <c r="I37" i="31"/>
  <c r="R31" i="19"/>
  <c r="I37" i="30"/>
  <c r="AB31" i="19"/>
  <c r="N30" i="33" s="1"/>
  <c r="I38" i="30" l="1"/>
  <c r="S32" i="19"/>
  <c r="T32" i="19" s="1"/>
  <c r="I38" i="31"/>
  <c r="AA32" i="19" l="1"/>
  <c r="U32" i="19"/>
  <c r="R32" i="19"/>
  <c r="I39" i="31" s="1"/>
  <c r="AB32" i="19"/>
  <c r="N31" i="33" s="1"/>
  <c r="T7" i="11"/>
  <c r="S33" i="19" l="1"/>
  <c r="T33" i="19" s="1"/>
  <c r="AA33" i="19" s="1"/>
  <c r="AB33" i="19" s="1"/>
  <c r="N32" i="33" s="1"/>
  <c r="U7" i="11"/>
  <c r="H14" i="30" s="1"/>
  <c r="R7" i="11"/>
  <c r="I39" i="30"/>
  <c r="AA7" i="11"/>
  <c r="U33" i="19" l="1"/>
  <c r="I40" i="30" s="1"/>
  <c r="R33" i="19"/>
  <c r="I40" i="31" s="1"/>
  <c r="AB7" i="11"/>
  <c r="M6" i="33" s="1"/>
  <c r="S8" i="11"/>
  <c r="T8" i="11" s="1"/>
  <c r="AA8" i="11" s="1"/>
  <c r="H14" i="31"/>
  <c r="S34" i="19" l="1"/>
  <c r="T34" i="19" s="1"/>
  <c r="AA34" i="19" s="1"/>
  <c r="U8" i="11"/>
  <c r="H15" i="30" s="1"/>
  <c r="R8" i="11"/>
  <c r="AB8" i="11"/>
  <c r="R34" i="19" l="1"/>
  <c r="I41" i="31" s="1"/>
  <c r="U34" i="19"/>
  <c r="I41" i="30" s="1"/>
  <c r="S35" i="19"/>
  <c r="T35" i="19" s="1"/>
  <c r="AA35" i="19" s="1"/>
  <c r="AB34" i="19"/>
  <c r="N33" i="33" s="1"/>
  <c r="M7" i="33"/>
  <c r="S9" i="11"/>
  <c r="T9" i="11" s="1"/>
  <c r="R9" i="11" s="1"/>
  <c r="H15" i="31"/>
  <c r="U35" i="19" l="1"/>
  <c r="R35" i="19"/>
  <c r="U9" i="11"/>
  <c r="S10" i="11"/>
  <c r="AA9" i="11"/>
  <c r="H16" i="31" l="1"/>
  <c r="AB9" i="11"/>
  <c r="M8" i="33" s="1"/>
  <c r="I42" i="31"/>
  <c r="S36" i="19"/>
  <c r="T36" i="19" s="1"/>
  <c r="AA36" i="19" s="1"/>
  <c r="AB35" i="19"/>
  <c r="N34" i="33" s="1"/>
  <c r="I42" i="30"/>
  <c r="H16" i="30"/>
  <c r="T10" i="11"/>
  <c r="R10" i="11" s="1"/>
  <c r="U36" i="19" l="1"/>
  <c r="R36" i="19"/>
  <c r="U10" i="11"/>
  <c r="AA10" i="11"/>
  <c r="AB10" i="11" s="1"/>
  <c r="AB36" i="19"/>
  <c r="N35" i="33" s="1"/>
  <c r="S11" i="11"/>
  <c r="H17" i="31"/>
  <c r="I43" i="30" l="1"/>
  <c r="I43" i="31"/>
  <c r="S37" i="19"/>
  <c r="T37" i="19" s="1"/>
  <c r="AA37" i="19" s="1"/>
  <c r="H17" i="30"/>
  <c r="M9" i="33"/>
  <c r="T11" i="11"/>
  <c r="U11" i="11" s="1"/>
  <c r="U37" i="19" l="1"/>
  <c r="R37" i="19"/>
  <c r="R11" i="11"/>
  <c r="AA11" i="11"/>
  <c r="AB11" i="11" s="1"/>
  <c r="M10" i="33" s="1"/>
  <c r="I44" i="31" l="1"/>
  <c r="S38" i="19"/>
  <c r="T38" i="19" s="1"/>
  <c r="AA38" i="19" s="1"/>
  <c r="I44" i="30"/>
  <c r="AB37" i="19"/>
  <c r="N36" i="33" s="1"/>
  <c r="H18" i="30"/>
  <c r="S12" i="11"/>
  <c r="T12" i="11" s="1"/>
  <c r="H18" i="31"/>
  <c r="U38" i="19" l="1"/>
  <c r="R38" i="19"/>
  <c r="R12" i="11"/>
  <c r="U12" i="11"/>
  <c r="AA12" i="11"/>
  <c r="AB38" i="19"/>
  <c r="N37" i="33" s="1"/>
  <c r="AB12" i="11" l="1"/>
  <c r="M11" i="33" s="1"/>
  <c r="I45" i="30"/>
  <c r="S39" i="19"/>
  <c r="T39" i="19" s="1"/>
  <c r="AA39" i="19" s="1"/>
  <c r="I45" i="31"/>
  <c r="S13" i="11"/>
  <c r="T13" i="11" s="1"/>
  <c r="R13" i="11" s="1"/>
  <c r="H19" i="31"/>
  <c r="H19" i="30"/>
  <c r="U39" i="19" l="1"/>
  <c r="R39" i="19"/>
  <c r="U13" i="11"/>
  <c r="AA13" i="11"/>
  <c r="AB13" i="11" s="1"/>
  <c r="S14" i="11"/>
  <c r="H20" i="31"/>
  <c r="I46" i="30" l="1"/>
  <c r="I46" i="31"/>
  <c r="S40" i="19"/>
  <c r="T40" i="19" s="1"/>
  <c r="AA40" i="19" s="1"/>
  <c r="AB39" i="19"/>
  <c r="N38" i="33" s="1"/>
  <c r="H20" i="30"/>
  <c r="M12" i="33"/>
  <c r="T14" i="11"/>
  <c r="U14" i="11" s="1"/>
  <c r="U40" i="19" l="1"/>
  <c r="R40" i="19"/>
  <c r="I47" i="31" s="1"/>
  <c r="H21" i="30"/>
  <c r="R14" i="11"/>
  <c r="AA14" i="11"/>
  <c r="AB14" i="11" s="1"/>
  <c r="M13" i="33" s="1"/>
  <c r="AB40" i="19"/>
  <c r="N39" i="33" s="1"/>
  <c r="S41" i="19" l="1"/>
  <c r="T41" i="19" s="1"/>
  <c r="AA41" i="19" s="1"/>
  <c r="AB41" i="19" s="1"/>
  <c r="N40" i="33" s="1"/>
  <c r="I47" i="30"/>
  <c r="S15" i="11"/>
  <c r="T15" i="11" s="1"/>
  <c r="H21" i="31"/>
  <c r="R41" i="19" l="1"/>
  <c r="I48" i="31" s="1"/>
  <c r="U41" i="19"/>
  <c r="I48" i="30" s="1"/>
  <c r="R15" i="11"/>
  <c r="H22" i="31" s="1"/>
  <c r="U15" i="11"/>
  <c r="AA15" i="11"/>
  <c r="AB15" i="11" s="1"/>
  <c r="S42" i="19" l="1"/>
  <c r="T42" i="19" s="1"/>
  <c r="AA42" i="19" s="1"/>
  <c r="U42" i="19"/>
  <c r="I49" i="30" s="1"/>
  <c r="R42" i="19"/>
  <c r="M14" i="33"/>
  <c r="H22" i="30"/>
  <c r="S16" i="11"/>
  <c r="T16" i="11" s="1"/>
  <c r="R16" i="11" s="1"/>
  <c r="U16" i="11" l="1"/>
  <c r="I49" i="31"/>
  <c r="S43" i="19"/>
  <c r="T43" i="19" s="1"/>
  <c r="AA43" i="19" s="1"/>
  <c r="AA16" i="11"/>
  <c r="AB16" i="11" s="1"/>
  <c r="AB42" i="19"/>
  <c r="N41" i="33" s="1"/>
  <c r="S17" i="11"/>
  <c r="H23" i="31"/>
  <c r="Y6" i="11"/>
  <c r="U43" i="19" l="1"/>
  <c r="I50" i="30" s="1"/>
  <c r="R43" i="19"/>
  <c r="W6" i="11"/>
  <c r="Z6" i="11"/>
  <c r="F13" i="30" s="1"/>
  <c r="AB43" i="19"/>
  <c r="N42" i="33" s="1"/>
  <c r="M15" i="33"/>
  <c r="AC6" i="11"/>
  <c r="AD6" i="11" s="1"/>
  <c r="H23" i="30"/>
  <c r="S44" i="19" l="1"/>
  <c r="T44" i="19" s="1"/>
  <c r="AA44" i="19" s="1"/>
  <c r="I50" i="31"/>
  <c r="K5" i="33"/>
  <c r="F13" i="31"/>
  <c r="X7" i="11"/>
  <c r="Y7" i="11" s="1"/>
  <c r="U44" i="19" l="1"/>
  <c r="R44" i="19"/>
  <c r="AB44" i="19"/>
  <c r="N43" i="33" s="1"/>
  <c r="Z7" i="11"/>
  <c r="F14" i="30" s="1"/>
  <c r="W7" i="11"/>
  <c r="AC7" i="11"/>
  <c r="AD7" i="11" s="1"/>
  <c r="K6" i="33" s="1"/>
  <c r="I51" i="31" l="1"/>
  <c r="S45" i="19"/>
  <c r="T45" i="19" s="1"/>
  <c r="AA45" i="19" s="1"/>
  <c r="I51" i="30"/>
  <c r="X8" i="11"/>
  <c r="Y8" i="11" s="1"/>
  <c r="F14" i="31"/>
  <c r="U45" i="19" l="1"/>
  <c r="R45" i="19"/>
  <c r="AB45" i="19"/>
  <c r="N44" i="33" s="1"/>
  <c r="Z8" i="11"/>
  <c r="F15" i="30" s="1"/>
  <c r="W8" i="11"/>
  <c r="F15" i="31" s="1"/>
  <c r="AC8" i="11"/>
  <c r="AD8" i="11" s="1"/>
  <c r="I52" i="31" l="1"/>
  <c r="S46" i="19"/>
  <c r="T46" i="19" s="1"/>
  <c r="AA46" i="19" s="1"/>
  <c r="I52" i="30"/>
  <c r="K7" i="33"/>
  <c r="X9" i="11"/>
  <c r="Y9" i="11" s="1"/>
  <c r="Z9" i="11" s="1"/>
  <c r="U46" i="19" l="1"/>
  <c r="R46" i="19"/>
  <c r="AB46" i="19"/>
  <c r="N45" i="33" s="1"/>
  <c r="W9" i="11"/>
  <c r="F16" i="30"/>
  <c r="AC9" i="11"/>
  <c r="AD9" i="11" s="1"/>
  <c r="I53" i="30" l="1"/>
  <c r="S47" i="19"/>
  <c r="T47" i="19" s="1"/>
  <c r="U47" i="19" s="1"/>
  <c r="I53" i="31"/>
  <c r="F16" i="31"/>
  <c r="K8" i="33"/>
  <c r="X10" i="11"/>
  <c r="Y10" i="11" s="1"/>
  <c r="Z10" i="11" s="1"/>
  <c r="R47" i="19" l="1"/>
  <c r="AA47" i="19"/>
  <c r="W10" i="11"/>
  <c r="F17" i="31" s="1"/>
  <c r="F17" i="30"/>
  <c r="AC10" i="11"/>
  <c r="AD10" i="11" s="1"/>
  <c r="I54" i="31" l="1"/>
  <c r="S48" i="19"/>
  <c r="T48" i="19" s="1"/>
  <c r="U48" i="19" s="1"/>
  <c r="AB47" i="19"/>
  <c r="N46" i="33" s="1"/>
  <c r="I54" i="30"/>
  <c r="K9" i="33"/>
  <c r="X11" i="11"/>
  <c r="Y11" i="11" s="1"/>
  <c r="Z11" i="11" s="1"/>
  <c r="AA48" i="19" l="1"/>
  <c r="AB48" i="19" s="1"/>
  <c r="N47" i="33" s="1"/>
  <c r="R48" i="19"/>
  <c r="I55" i="31" s="1"/>
  <c r="W11" i="11"/>
  <c r="F18" i="31" s="1"/>
  <c r="F18" i="30"/>
  <c r="AC11" i="11"/>
  <c r="AD11" i="11" s="1"/>
  <c r="K10" i="33" s="1"/>
  <c r="S49" i="19" l="1"/>
  <c r="T49" i="19" s="1"/>
  <c r="U49" i="19" s="1"/>
  <c r="I55" i="30"/>
  <c r="X12" i="11"/>
  <c r="Y12" i="11" s="1"/>
  <c r="Z12" i="11" s="1"/>
  <c r="AA49" i="19" l="1"/>
  <c r="R49" i="19"/>
  <c r="I56" i="31" s="1"/>
  <c r="I56" i="30"/>
  <c r="AC12" i="11"/>
  <c r="AD12" i="11" s="1"/>
  <c r="K11" i="33" s="1"/>
  <c r="W12" i="11"/>
  <c r="F19" i="31" s="1"/>
  <c r="F19" i="30"/>
  <c r="AB49" i="19" l="1"/>
  <c r="N48" i="33" s="1"/>
  <c r="S50" i="19"/>
  <c r="T50" i="19" s="1"/>
  <c r="X13" i="11"/>
  <c r="Y13" i="11" s="1"/>
  <c r="Z13" i="11" s="1"/>
  <c r="U50" i="19" l="1"/>
  <c r="R50" i="19"/>
  <c r="I57" i="31" s="1"/>
  <c r="AA50" i="19"/>
  <c r="F20" i="30"/>
  <c r="W13" i="11"/>
  <c r="X14" i="11" s="1"/>
  <c r="Y14" i="11" s="1"/>
  <c r="W14" i="11" s="1"/>
  <c r="AC13" i="11"/>
  <c r="AD13" i="11" s="1"/>
  <c r="K12" i="33" s="1"/>
  <c r="I57" i="30" l="1"/>
  <c r="AB50" i="19"/>
  <c r="N49" i="33" s="1"/>
  <c r="S51" i="19"/>
  <c r="T51" i="19" s="1"/>
  <c r="U51" i="19" s="1"/>
  <c r="F20" i="31"/>
  <c r="Z14" i="11"/>
  <c r="F21" i="31"/>
  <c r="X15" i="11"/>
  <c r="Y15" i="11" s="1"/>
  <c r="W15" i="11" s="1"/>
  <c r="AC14" i="11"/>
  <c r="R51" i="19" l="1"/>
  <c r="I58" i="31" s="1"/>
  <c r="AA51" i="19"/>
  <c r="I58" i="30"/>
  <c r="Z15" i="11"/>
  <c r="AD14" i="11"/>
  <c r="K13" i="33" s="1"/>
  <c r="F21" i="30"/>
  <c r="AC15" i="11"/>
  <c r="X16" i="11"/>
  <c r="Y16" i="11" s="1"/>
  <c r="F22" i="31"/>
  <c r="AB51" i="19" l="1"/>
  <c r="N50" i="33" s="1"/>
  <c r="S52" i="19"/>
  <c r="T52" i="19" s="1"/>
  <c r="U52" i="19" s="1"/>
  <c r="W16" i="11"/>
  <c r="Z16" i="11"/>
  <c r="AC16" i="11"/>
  <c r="AD16" i="11" s="1"/>
  <c r="K15" i="33" s="1"/>
  <c r="AD15" i="11"/>
  <c r="K14" i="33" s="1"/>
  <c r="F22" i="30"/>
  <c r="AA52" i="19" l="1"/>
  <c r="AB52" i="19" s="1"/>
  <c r="N51" i="33" s="1"/>
  <c r="I59" i="30"/>
  <c r="R52" i="19"/>
  <c r="I59" i="31" s="1"/>
  <c r="F23" i="30"/>
  <c r="X17" i="11"/>
  <c r="Y17" i="11" s="1"/>
  <c r="W17" i="11" s="1"/>
  <c r="F23" i="31"/>
  <c r="S53" i="19" l="1"/>
  <c r="T53" i="19" s="1"/>
  <c r="Z17" i="11"/>
  <c r="AC17" i="11"/>
  <c r="AD17" i="11" s="1"/>
  <c r="R53" i="19" l="1"/>
  <c r="I60" i="31" s="1"/>
  <c r="U53" i="19"/>
  <c r="S54" i="19"/>
  <c r="T54" i="19" s="1"/>
  <c r="R54" i="19" s="1"/>
  <c r="I61" i="31" s="1"/>
  <c r="AA53" i="19"/>
  <c r="X18" i="11"/>
  <c r="Y18" i="11" s="1"/>
  <c r="W18" i="11" s="1"/>
  <c r="F25" i="31" s="1"/>
  <c r="F24" i="31"/>
  <c r="K16" i="33"/>
  <c r="F24" i="30"/>
  <c r="U54" i="19" l="1"/>
  <c r="S55" i="19"/>
  <c r="T55" i="19" s="1"/>
  <c r="R55" i="19" s="1"/>
  <c r="I62" i="31" s="1"/>
  <c r="C158" i="17" s="1"/>
  <c r="AB53" i="19"/>
  <c r="N52" i="33" s="1"/>
  <c r="AA54" i="19"/>
  <c r="I60" i="30"/>
  <c r="AC18" i="11"/>
  <c r="AD18" i="11" s="1"/>
  <c r="K17" i="33" s="1"/>
  <c r="Z18" i="11"/>
  <c r="X19" i="11"/>
  <c r="Y19" i="11" s="1"/>
  <c r="U55" i="19" l="1"/>
  <c r="I62" i="30" s="1"/>
  <c r="C151" i="17" s="1"/>
  <c r="I61" i="30"/>
  <c r="AB54" i="19"/>
  <c r="N53" i="33" s="1"/>
  <c r="AA55" i="19"/>
  <c r="AB55" i="19" s="1"/>
  <c r="N54" i="33" s="1"/>
  <c r="AC19" i="11"/>
  <c r="AD19" i="11" s="1"/>
  <c r="K18" i="33" s="1"/>
  <c r="F25" i="30"/>
  <c r="Z19" i="11"/>
  <c r="W19" i="11"/>
  <c r="X20" i="11" s="1"/>
  <c r="Y20" i="11" s="1"/>
  <c r="AC20" i="11" l="1"/>
  <c r="AD20" i="11" s="1"/>
  <c r="K19" i="33" s="1"/>
  <c r="Z20" i="11"/>
  <c r="F26" i="31"/>
  <c r="W20" i="11"/>
  <c r="F27" i="31" s="1"/>
  <c r="F26" i="30"/>
  <c r="X21" i="11" l="1"/>
  <c r="Y21" i="11" s="1"/>
  <c r="AC21" i="11" s="1"/>
  <c r="AD21" i="11" s="1"/>
  <c r="K20" i="33" s="1"/>
  <c r="F27" i="30"/>
  <c r="W21" i="11" l="1"/>
  <c r="X22" i="11" s="1"/>
  <c r="Y22" i="11" s="1"/>
  <c r="AC22" i="11" s="1"/>
  <c r="AD22" i="11" s="1"/>
  <c r="Z21" i="11"/>
  <c r="F28" i="31" l="1"/>
  <c r="F28" i="30"/>
  <c r="Z22" i="11"/>
  <c r="W22" i="11"/>
  <c r="X23" i="11" s="1"/>
  <c r="Y23" i="11" s="1"/>
  <c r="AC23" i="11" s="1"/>
  <c r="AD23" i="11" s="1"/>
  <c r="K21" i="33"/>
  <c r="F29" i="31" l="1"/>
  <c r="Z23" i="11"/>
  <c r="F29" i="30"/>
  <c r="W23" i="11"/>
  <c r="F30" i="31" s="1"/>
  <c r="K22" i="33"/>
  <c r="F30" i="30" l="1"/>
  <c r="X24" i="11"/>
  <c r="Y24" i="11" s="1"/>
  <c r="AC24" i="11" s="1"/>
  <c r="AD24" i="11" s="1"/>
  <c r="Z24" i="11" l="1"/>
  <c r="W24" i="11"/>
  <c r="F31" i="31" s="1"/>
  <c r="K23" i="33"/>
  <c r="F31" i="30" l="1"/>
  <c r="X25" i="11"/>
  <c r="Y25" i="11" s="1"/>
  <c r="AC25" i="11" s="1"/>
  <c r="AD25" i="11" s="1"/>
  <c r="W25" i="11" l="1"/>
  <c r="Z25" i="11"/>
  <c r="K24" i="33"/>
  <c r="F32" i="30" l="1"/>
  <c r="F32" i="31"/>
  <c r="X26" i="11"/>
  <c r="Y26" i="11" s="1"/>
  <c r="Z26" i="11" s="1"/>
  <c r="AC26" i="11" l="1"/>
  <c r="AD26" i="11" s="1"/>
  <c r="K25" i="33" s="1"/>
  <c r="W26" i="11"/>
  <c r="F33" i="31" l="1"/>
  <c r="X27" i="11"/>
  <c r="Y27" i="11" s="1"/>
  <c r="F33" i="30"/>
  <c r="AC27" i="11" l="1"/>
  <c r="AD27" i="11" s="1"/>
  <c r="K26" i="33" s="1"/>
  <c r="Z27" i="11"/>
  <c r="W27" i="11"/>
  <c r="F34" i="30" l="1"/>
  <c r="F34" i="31"/>
  <c r="X28" i="11"/>
  <c r="Y28" i="11" s="1"/>
  <c r="AC28" i="11" s="1"/>
  <c r="AD28" i="11" s="1"/>
  <c r="Z28" i="11" l="1"/>
  <c r="W28" i="11"/>
  <c r="K27" i="33"/>
  <c r="F35" i="30" l="1"/>
  <c r="X29" i="11"/>
  <c r="Y29" i="11" s="1"/>
  <c r="AC29" i="11" s="1"/>
  <c r="AD29" i="11" s="1"/>
  <c r="F35" i="31"/>
  <c r="Z29" i="11" l="1"/>
  <c r="W29" i="11"/>
  <c r="K28" i="33"/>
  <c r="F36" i="30" l="1"/>
  <c r="F36" i="31"/>
  <c r="X30" i="11"/>
  <c r="Y30" i="11" s="1"/>
  <c r="AC30" i="11" s="1"/>
  <c r="AD30" i="11" s="1"/>
  <c r="Z30" i="11" l="1"/>
  <c r="W30" i="11"/>
  <c r="F37" i="31" s="1"/>
  <c r="K29" i="33"/>
  <c r="X31" i="11" l="1"/>
  <c r="Y31" i="11" s="1"/>
  <c r="Z31" i="11" s="1"/>
  <c r="F37" i="30"/>
  <c r="AC31" i="11" l="1"/>
  <c r="AD31" i="11" s="1"/>
  <c r="K30" i="33" s="1"/>
  <c r="W31" i="11"/>
  <c r="X32" i="11" s="1"/>
  <c r="Y32" i="11" s="1"/>
  <c r="F38" i="30"/>
  <c r="AC32" i="11" l="1"/>
  <c r="AD32" i="11" s="1"/>
  <c r="K31" i="33" s="1"/>
  <c r="F38" i="31"/>
  <c r="W32" i="11"/>
  <c r="X33" i="11" s="1"/>
  <c r="Y33" i="11" s="1"/>
  <c r="Z32" i="11"/>
  <c r="AC33" i="11" l="1"/>
  <c r="AD33" i="11" s="1"/>
  <c r="K32" i="33" s="1"/>
  <c r="F39" i="31"/>
  <c r="F39" i="30"/>
  <c r="Z33" i="11"/>
  <c r="W33" i="11"/>
  <c r="F40" i="30" l="1"/>
  <c r="F40" i="31"/>
  <c r="X34" i="11"/>
  <c r="Y34" i="11" s="1"/>
  <c r="AC34" i="11" s="1"/>
  <c r="AD34" i="11" s="1"/>
  <c r="Z34" i="11" l="1"/>
  <c r="W34" i="11"/>
  <c r="K33" i="33"/>
  <c r="F41" i="31" l="1"/>
  <c r="X35" i="11"/>
  <c r="Y35" i="11" s="1"/>
  <c r="AC35" i="11" s="1"/>
  <c r="AD35" i="11" s="1"/>
  <c r="F41" i="30"/>
  <c r="Z35" i="11" l="1"/>
  <c r="W35" i="11"/>
  <c r="K34" i="33"/>
  <c r="T17" i="11"/>
  <c r="R17" i="11" l="1"/>
  <c r="H24" i="31" s="1"/>
  <c r="U17" i="11"/>
  <c r="AA17" i="11"/>
  <c r="AB17" i="11" s="1"/>
  <c r="F42" i="31"/>
  <c r="X36" i="11"/>
  <c r="Y36" i="11" s="1"/>
  <c r="AC36" i="11" s="1"/>
  <c r="AD36" i="11" s="1"/>
  <c r="F42" i="30"/>
  <c r="Z36" i="11" l="1"/>
  <c r="W36" i="11"/>
  <c r="F43" i="31" s="1"/>
  <c r="K35" i="33"/>
  <c r="H24" i="30"/>
  <c r="M16" i="33"/>
  <c r="S18" i="11"/>
  <c r="T18" i="11" s="1"/>
  <c r="U18" i="11" s="1"/>
  <c r="H25" i="30" l="1"/>
  <c r="R18" i="11"/>
  <c r="AA18" i="11"/>
  <c r="AB18" i="11" s="1"/>
  <c r="M17" i="33" s="1"/>
  <c r="F43" i="30"/>
  <c r="X37" i="11"/>
  <c r="Y37" i="11" s="1"/>
  <c r="Z37" i="11" s="1"/>
  <c r="AC37" i="11" l="1"/>
  <c r="AD37" i="11" s="1"/>
  <c r="K36" i="33" s="1"/>
  <c r="F44" i="30"/>
  <c r="W37" i="11"/>
  <c r="X38" i="11" s="1"/>
  <c r="Y38" i="11" s="1"/>
  <c r="Z38" i="11" s="1"/>
  <c r="S19" i="11"/>
  <c r="T19" i="11" s="1"/>
  <c r="U19" i="11" s="1"/>
  <c r="H25" i="31"/>
  <c r="R19" i="11" l="1"/>
  <c r="S20" i="11" s="1"/>
  <c r="T20" i="11" s="1"/>
  <c r="U20" i="11" s="1"/>
  <c r="AA19" i="11"/>
  <c r="AB19" i="11" s="1"/>
  <c r="F44" i="31"/>
  <c r="W38" i="11"/>
  <c r="F45" i="31" s="1"/>
  <c r="AC38" i="11"/>
  <c r="AD38" i="11" s="1"/>
  <c r="K37" i="33" s="1"/>
  <c r="F45" i="30"/>
  <c r="R20" i="11" l="1"/>
  <c r="H27" i="31" s="1"/>
  <c r="AA20" i="11"/>
  <c r="AB20" i="11" s="1"/>
  <c r="X39" i="11"/>
  <c r="Y39" i="11" s="1"/>
  <c r="W39" i="11" s="1"/>
  <c r="X40" i="11" s="1"/>
  <c r="Y40" i="11" s="1"/>
  <c r="W40" i="11" s="1"/>
  <c r="H26" i="31"/>
  <c r="H26" i="30"/>
  <c r="M18" i="33"/>
  <c r="AC39" i="11" l="1"/>
  <c r="AD39" i="11" s="1"/>
  <c r="K38" i="33" s="1"/>
  <c r="Z39" i="11"/>
  <c r="F46" i="31"/>
  <c r="M19" i="33"/>
  <c r="H27" i="30"/>
  <c r="S21" i="11"/>
  <c r="T21" i="11" s="1"/>
  <c r="R21" i="11" l="1"/>
  <c r="U21" i="11"/>
  <c r="AA21" i="11"/>
  <c r="AB21" i="11" s="1"/>
  <c r="AC40" i="11"/>
  <c r="AD40" i="11" s="1"/>
  <c r="K39" i="33" s="1"/>
  <c r="Z40" i="11"/>
  <c r="F47" i="30" s="1"/>
  <c r="F46" i="30"/>
  <c r="F47" i="31"/>
  <c r="X41" i="11"/>
  <c r="Y41" i="11" s="1"/>
  <c r="W41" i="11" s="1"/>
  <c r="S22" i="11" l="1"/>
  <c r="T22" i="11" s="1"/>
  <c r="U22" i="11" s="1"/>
  <c r="Z41" i="11"/>
  <c r="H28" i="31"/>
  <c r="H28" i="30"/>
  <c r="AC41" i="11"/>
  <c r="AD41" i="11" s="1"/>
  <c r="M20" i="33"/>
  <c r="R22" i="11" l="1"/>
  <c r="AA22" i="11"/>
  <c r="AB22" i="11" s="1"/>
  <c r="M21" i="33" s="1"/>
  <c r="H29" i="30"/>
  <c r="F48" i="31"/>
  <c r="X42" i="11"/>
  <c r="Y42" i="11" s="1"/>
  <c r="K40" i="33"/>
  <c r="F48" i="30"/>
  <c r="H29" i="31" l="1"/>
  <c r="S23" i="11"/>
  <c r="T23" i="11" s="1"/>
  <c r="AA23" i="11" s="1"/>
  <c r="W42" i="11"/>
  <c r="Z42" i="11"/>
  <c r="AC42" i="11"/>
  <c r="AD42" i="11" s="1"/>
  <c r="K41" i="33" s="1"/>
  <c r="R23" i="11" l="1"/>
  <c r="H30" i="31" s="1"/>
  <c r="U23" i="11"/>
  <c r="H30" i="30" s="1"/>
  <c r="AB23" i="11"/>
  <c r="M22" i="33" s="1"/>
  <c r="F49" i="30"/>
  <c r="F49" i="31"/>
  <c r="X43" i="11"/>
  <c r="Y43" i="11" s="1"/>
  <c r="W43" i="11" s="1"/>
  <c r="S24" i="11" l="1"/>
  <c r="T24" i="11" s="1"/>
  <c r="R24" i="11" s="1"/>
  <c r="Z43" i="11"/>
  <c r="AC43" i="11"/>
  <c r="AD43" i="11" s="1"/>
  <c r="AA24" i="11" l="1"/>
  <c r="AB24" i="11" s="1"/>
  <c r="M23" i="33" s="1"/>
  <c r="U24" i="11"/>
  <c r="H31" i="30" s="1"/>
  <c r="F50" i="31"/>
  <c r="X44" i="11"/>
  <c r="Y44" i="11" s="1"/>
  <c r="F50" i="30"/>
  <c r="K42" i="33"/>
  <c r="S25" i="11"/>
  <c r="T25" i="11" s="1"/>
  <c r="H31" i="31"/>
  <c r="U25" i="11" l="1"/>
  <c r="R25" i="11"/>
  <c r="AA25" i="11"/>
  <c r="AB25" i="11" s="1"/>
  <c r="W44" i="11"/>
  <c r="F51" i="31" s="1"/>
  <c r="Z44" i="11"/>
  <c r="AC44" i="11"/>
  <c r="AD44" i="11" s="1"/>
  <c r="K43" i="33" s="1"/>
  <c r="X45" i="11" l="1"/>
  <c r="Y45" i="11" s="1"/>
  <c r="W45" i="11" s="1"/>
  <c r="F52" i="31" s="1"/>
  <c r="S26" i="11"/>
  <c r="T26" i="11" s="1"/>
  <c r="R26" i="11" s="1"/>
  <c r="H32" i="31"/>
  <c r="M24" i="33"/>
  <c r="F51" i="30"/>
  <c r="H32" i="30"/>
  <c r="U26" i="11" l="1"/>
  <c r="X46" i="11"/>
  <c r="Y46" i="11" s="1"/>
  <c r="W46" i="11" s="1"/>
  <c r="Z45" i="11"/>
  <c r="F52" i="30" s="1"/>
  <c r="AC45" i="11"/>
  <c r="AD45" i="11" s="1"/>
  <c r="K44" i="33" s="1"/>
  <c r="H33" i="31"/>
  <c r="AA26" i="11"/>
  <c r="AC46" i="11" l="1"/>
  <c r="Z46" i="11"/>
  <c r="F53" i="30" s="1"/>
  <c r="S27" i="11"/>
  <c r="T27" i="11" s="1"/>
  <c r="AB26" i="11"/>
  <c r="M25" i="33" s="1"/>
  <c r="H33" i="30"/>
  <c r="AD46" i="11"/>
  <c r="K45" i="33" s="1"/>
  <c r="X47" i="11"/>
  <c r="Y47" i="11" s="1"/>
  <c r="W47" i="11" s="1"/>
  <c r="F53" i="31"/>
  <c r="U27" i="11" l="1"/>
  <c r="R27" i="11"/>
  <c r="S28" i="11" s="1"/>
  <c r="T28" i="11" s="1"/>
  <c r="AA27" i="11"/>
  <c r="AB27" i="11" s="1"/>
  <c r="M26" i="33" s="1"/>
  <c r="X48" i="11"/>
  <c r="Y48" i="11" s="1"/>
  <c r="F54" i="31"/>
  <c r="AC47" i="11"/>
  <c r="Z47" i="11"/>
  <c r="R28" i="11" l="1"/>
  <c r="H35" i="31" s="1"/>
  <c r="U28" i="11"/>
  <c r="H34" i="31"/>
  <c r="H34" i="30"/>
  <c r="AA28" i="11"/>
  <c r="AB28" i="11" s="1"/>
  <c r="M27" i="33" s="1"/>
  <c r="Z48" i="11"/>
  <c r="F54" i="30"/>
  <c r="AD47" i="11"/>
  <c r="K46" i="33" s="1"/>
  <c r="AC48" i="11"/>
  <c r="W48" i="11"/>
  <c r="H35" i="30" l="1"/>
  <c r="S29" i="11"/>
  <c r="T29" i="11" s="1"/>
  <c r="U29" i="11" s="1"/>
  <c r="X49" i="11"/>
  <c r="Y49" i="11" s="1"/>
  <c r="AC49" i="11" s="1"/>
  <c r="F55" i="31"/>
  <c r="F55" i="30"/>
  <c r="AD48" i="11"/>
  <c r="K47" i="33" s="1"/>
  <c r="H36" i="30" l="1"/>
  <c r="AA29" i="11"/>
  <c r="AB29" i="11" s="1"/>
  <c r="M28" i="33" s="1"/>
  <c r="R29" i="11"/>
  <c r="AD49" i="11"/>
  <c r="K48" i="33" s="1"/>
  <c r="Z49" i="11"/>
  <c r="W49" i="11"/>
  <c r="F56" i="31" s="1"/>
  <c r="H36" i="31" l="1"/>
  <c r="S30" i="11"/>
  <c r="T30" i="11" s="1"/>
  <c r="U30" i="11" s="1"/>
  <c r="H37" i="30" s="1"/>
  <c r="F56" i="30"/>
  <c r="X50" i="11"/>
  <c r="Y50" i="11" s="1"/>
  <c r="W50" i="11" s="1"/>
  <c r="F57" i="31" s="1"/>
  <c r="AA30" i="11" l="1"/>
  <c r="AB30" i="11" s="1"/>
  <c r="M29" i="33" s="1"/>
  <c r="R30" i="11"/>
  <c r="X51" i="11"/>
  <c r="Y51" i="11" s="1"/>
  <c r="AC50" i="11"/>
  <c r="Z50" i="11"/>
  <c r="S31" i="11" l="1"/>
  <c r="T31" i="11" s="1"/>
  <c r="H37" i="31"/>
  <c r="W51" i="11"/>
  <c r="F58" i="31" s="1"/>
  <c r="Z51" i="11"/>
  <c r="F57" i="30"/>
  <c r="AD50" i="11"/>
  <c r="K49" i="33" s="1"/>
  <c r="AC51" i="11"/>
  <c r="U31" i="11" l="1"/>
  <c r="AA31" i="11"/>
  <c r="R31" i="11"/>
  <c r="F58" i="30"/>
  <c r="AD51" i="11"/>
  <c r="K50" i="33" s="1"/>
  <c r="X52" i="11"/>
  <c r="Y52" i="11" s="1"/>
  <c r="H38" i="31" l="1"/>
  <c r="S32" i="11"/>
  <c r="T32" i="11" s="1"/>
  <c r="R32" i="11" s="1"/>
  <c r="AB31" i="11"/>
  <c r="M30" i="33" s="1"/>
  <c r="H38" i="30"/>
  <c r="W52" i="11"/>
  <c r="F59" i="31" s="1"/>
  <c r="Z52" i="11"/>
  <c r="AC52" i="11"/>
  <c r="S33" i="11" l="1"/>
  <c r="T33" i="11" s="1"/>
  <c r="H39" i="31"/>
  <c r="U32" i="11"/>
  <c r="AA32" i="11"/>
  <c r="AB32" i="11" s="1"/>
  <c r="M31" i="33" s="1"/>
  <c r="AD52" i="11"/>
  <c r="K51" i="33" s="1"/>
  <c r="F59" i="30"/>
  <c r="X53" i="11"/>
  <c r="Y53" i="11" s="1"/>
  <c r="Z53" i="11" s="1"/>
  <c r="AA33" i="11" l="1"/>
  <c r="AB33" i="11" s="1"/>
  <c r="M32" i="33" s="1"/>
  <c r="U33" i="11"/>
  <c r="H39" i="30"/>
  <c r="R33" i="11"/>
  <c r="F60" i="30"/>
  <c r="W53" i="11"/>
  <c r="F60" i="31" s="1"/>
  <c r="AC53" i="11"/>
  <c r="S34" i="11" l="1"/>
  <c r="T34" i="11" s="1"/>
  <c r="AA34" i="11" s="1"/>
  <c r="AB34" i="11" s="1"/>
  <c r="M33" i="33" s="1"/>
  <c r="H40" i="31"/>
  <c r="H40" i="30"/>
  <c r="AD53" i="11"/>
  <c r="K52" i="33" s="1"/>
  <c r="X54" i="11"/>
  <c r="Y54" i="11" s="1"/>
  <c r="Z54" i="11" s="1"/>
  <c r="U34" i="11" l="1"/>
  <c r="R34" i="11"/>
  <c r="W54" i="11"/>
  <c r="F61" i="31" s="1"/>
  <c r="AC54" i="11"/>
  <c r="F61" i="30"/>
  <c r="H41" i="31" l="1"/>
  <c r="S35" i="11"/>
  <c r="T35" i="11" s="1"/>
  <c r="AA35" i="11" s="1"/>
  <c r="AB35" i="11" s="1"/>
  <c r="M34" i="33" s="1"/>
  <c r="H41" i="30"/>
  <c r="AD54" i="11"/>
  <c r="K53" i="33" s="1"/>
  <c r="X55" i="11"/>
  <c r="Y55" i="11" s="1"/>
  <c r="Z55" i="11" s="1"/>
  <c r="U35" i="11" l="1"/>
  <c r="R35" i="11"/>
  <c r="F62" i="30"/>
  <c r="B149" i="17" s="1"/>
  <c r="W55" i="11"/>
  <c r="F62" i="31" s="1"/>
  <c r="B156" i="17" s="1"/>
  <c r="AC55" i="11"/>
  <c r="AD55" i="11" s="1"/>
  <c r="K54" i="33" s="1"/>
  <c r="H42" i="31" l="1"/>
  <c r="S36" i="11"/>
  <c r="T36" i="11" s="1"/>
  <c r="AA36" i="11" s="1"/>
  <c r="AB36" i="11" s="1"/>
  <c r="M35" i="33" s="1"/>
  <c r="H42" i="30"/>
  <c r="R36" i="11" l="1"/>
  <c r="U36" i="11"/>
  <c r="H43" i="30" l="1"/>
  <c r="S37" i="11"/>
  <c r="T37" i="11" s="1"/>
  <c r="AA37" i="11" s="1"/>
  <c r="AB37" i="11" s="1"/>
  <c r="M36" i="33" s="1"/>
  <c r="H43" i="31"/>
  <c r="R37" i="11" l="1"/>
  <c r="U37" i="11"/>
  <c r="H44" i="30" l="1"/>
  <c r="H44" i="31"/>
  <c r="S38" i="11"/>
  <c r="T38" i="11" s="1"/>
  <c r="AA38" i="11" s="1"/>
  <c r="AB38" i="11" s="1"/>
  <c r="M37" i="33" s="1"/>
  <c r="R38" i="11" l="1"/>
  <c r="U38" i="11"/>
  <c r="H45" i="30" l="1"/>
  <c r="S39" i="11"/>
  <c r="T39" i="11" s="1"/>
  <c r="AA39" i="11" s="1"/>
  <c r="AB39" i="11" s="1"/>
  <c r="M38" i="33" s="1"/>
  <c r="H45" i="31"/>
  <c r="R39" i="11" l="1"/>
  <c r="U39" i="11"/>
  <c r="H46" i="30" l="1"/>
  <c r="H46" i="31"/>
  <c r="S40" i="11"/>
  <c r="T40" i="11" s="1"/>
  <c r="AA40" i="11" s="1"/>
  <c r="AB40" i="11" s="1"/>
  <c r="M39" i="33" s="1"/>
  <c r="R40" i="11" l="1"/>
  <c r="H47" i="31" s="1"/>
  <c r="S41" i="11"/>
  <c r="T41" i="11" s="1"/>
  <c r="AA41" i="11" s="1"/>
  <c r="AB41" i="11" s="1"/>
  <c r="M40" i="33" s="1"/>
  <c r="U40" i="11"/>
  <c r="U41" i="11" l="1"/>
  <c r="H47" i="30"/>
  <c r="R41" i="11"/>
  <c r="H48" i="30" l="1"/>
  <c r="H48" i="31"/>
  <c r="S42" i="11"/>
  <c r="T42" i="11" s="1"/>
  <c r="AA42" i="11" s="1"/>
  <c r="AB42" i="11" s="1"/>
  <c r="M41" i="33" s="1"/>
  <c r="U42" i="11" l="1"/>
  <c r="R42" i="11"/>
  <c r="H49" i="30" l="1"/>
  <c r="S43" i="11"/>
  <c r="T43" i="11" s="1"/>
  <c r="AA43" i="11" s="1"/>
  <c r="AB43" i="11" s="1"/>
  <c r="M42" i="33" s="1"/>
  <c r="H49" i="31"/>
  <c r="U43" i="11" l="1"/>
  <c r="H50" i="30" s="1"/>
  <c r="R43" i="11"/>
  <c r="S44" i="11" l="1"/>
  <c r="T44" i="11" s="1"/>
  <c r="H50" i="31"/>
  <c r="U44" i="11" l="1"/>
  <c r="AA44" i="11"/>
  <c r="R44" i="11"/>
  <c r="S45" i="11" l="1"/>
  <c r="T45" i="11" s="1"/>
  <c r="R45" i="11" s="1"/>
  <c r="H51" i="31"/>
  <c r="AB44" i="11"/>
  <c r="M43" i="33" s="1"/>
  <c r="H51" i="30"/>
  <c r="S46" i="11" l="1"/>
  <c r="T46" i="11" s="1"/>
  <c r="R46" i="11" s="1"/>
  <c r="H52" i="31"/>
  <c r="AA45" i="11"/>
  <c r="U45" i="11"/>
  <c r="S47" i="11" l="1"/>
  <c r="T47" i="11" s="1"/>
  <c r="R47" i="11" s="1"/>
  <c r="H53" i="31"/>
  <c r="AB45" i="11"/>
  <c r="M44" i="33" s="1"/>
  <c r="AA46" i="11"/>
  <c r="U46" i="11"/>
  <c r="H52" i="30"/>
  <c r="H54" i="31" l="1"/>
  <c r="S48" i="11"/>
  <c r="T48" i="11" s="1"/>
  <c r="R48" i="11" s="1"/>
  <c r="U47" i="11"/>
  <c r="H53" i="30"/>
  <c r="AB46" i="11"/>
  <c r="M45" i="33" s="1"/>
  <c r="AA47" i="11"/>
  <c r="S49" i="11" l="1"/>
  <c r="T49" i="11" s="1"/>
  <c r="R49" i="11" s="1"/>
  <c r="H56" i="31" s="1"/>
  <c r="H55" i="31"/>
  <c r="U48" i="11"/>
  <c r="H54" i="30"/>
  <c r="AB47" i="11"/>
  <c r="M46" i="33" s="1"/>
  <c r="AA48" i="11"/>
  <c r="S50" i="11" l="1"/>
  <c r="T50" i="11" s="1"/>
  <c r="R50" i="11" s="1"/>
  <c r="H57" i="31" s="1"/>
  <c r="U49" i="11"/>
  <c r="H55" i="30"/>
  <c r="AA49" i="11"/>
  <c r="AB48" i="11"/>
  <c r="M47" i="33" s="1"/>
  <c r="S51" i="11" l="1"/>
  <c r="T51" i="11" s="1"/>
  <c r="R51" i="11" s="1"/>
  <c r="H58" i="31" s="1"/>
  <c r="U50" i="11"/>
  <c r="H56" i="30"/>
  <c r="AA50" i="11"/>
  <c r="AB49" i="11"/>
  <c r="M48" i="33" s="1"/>
  <c r="U51" i="11" l="1"/>
  <c r="H57" i="30"/>
  <c r="S52" i="11"/>
  <c r="T52" i="11" s="1"/>
  <c r="R52" i="11" s="1"/>
  <c r="H59" i="31" s="1"/>
  <c r="AA51" i="11"/>
  <c r="AB50" i="11"/>
  <c r="M49" i="33" s="1"/>
  <c r="S53" i="11" l="1"/>
  <c r="T53" i="11" s="1"/>
  <c r="R53" i="11" s="1"/>
  <c r="H60" i="31" s="1"/>
  <c r="AB51" i="11"/>
  <c r="M50" i="33" s="1"/>
  <c r="AA52" i="11"/>
  <c r="U52" i="11"/>
  <c r="H58" i="30"/>
  <c r="S54" i="11" l="1"/>
  <c r="T54" i="11" s="1"/>
  <c r="R54" i="11" s="1"/>
  <c r="H61" i="31" s="1"/>
  <c r="U53" i="11"/>
  <c r="H59" i="30"/>
  <c r="AA53" i="11"/>
  <c r="AB52" i="11"/>
  <c r="M51" i="33" s="1"/>
  <c r="S55" i="11" l="1"/>
  <c r="T55" i="11" s="1"/>
  <c r="R55" i="11" s="1"/>
  <c r="H62" i="31" s="1"/>
  <c r="B158" i="17" s="1"/>
  <c r="U54" i="11"/>
  <c r="H60" i="30"/>
  <c r="AA54" i="11"/>
  <c r="AB53" i="11"/>
  <c r="M52" i="33" s="1"/>
  <c r="U55" i="11" l="1"/>
  <c r="H62" i="30" s="1"/>
  <c r="B151" i="17" s="1"/>
  <c r="H61" i="30"/>
  <c r="AA55" i="11"/>
  <c r="AB55" i="11" s="1"/>
  <c r="M54" i="33" s="1"/>
  <c r="AB54" i="11"/>
  <c r="M53"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Nyholm Tanja</author>
  </authors>
  <commentList>
    <comment ref="A19" authorId="0" shapeId="0" xr:uid="{00000000-0006-0000-0200-000001000000}">
      <text>
        <r>
          <rPr>
            <b/>
            <sz val="9"/>
            <color indexed="81"/>
            <rFont val="Tahoma"/>
            <family val="2"/>
          </rPr>
          <t>Nyholm Tanja:</t>
        </r>
        <r>
          <rPr>
            <sz val="9"/>
            <color indexed="81"/>
            <rFont val="Tahoma"/>
            <family val="2"/>
          </rPr>
          <t xml:space="preserve">
Fill in measures that you would like to calculate.</t>
        </r>
      </text>
    </comment>
    <comment ref="A21" authorId="0" shapeId="0" xr:uid="{00000000-0006-0000-0200-000002000000}">
      <text>
        <r>
          <rPr>
            <b/>
            <sz val="9"/>
            <color indexed="81"/>
            <rFont val="Tahoma"/>
            <family val="2"/>
          </rPr>
          <t>Nyholm Tanja:</t>
        </r>
        <r>
          <rPr>
            <sz val="9"/>
            <color indexed="81"/>
            <rFont val="Tahoma"/>
            <family val="2"/>
          </rPr>
          <t xml:space="preserve">
Fill in year between 1 and 50</t>
        </r>
      </text>
    </comment>
    <comment ref="A28" authorId="0" shapeId="0" xr:uid="{00000000-0006-0000-0200-000003000000}">
      <text>
        <r>
          <rPr>
            <b/>
            <sz val="9"/>
            <color indexed="81"/>
            <rFont val="Tahoma"/>
            <family val="2"/>
          </rPr>
          <t>Nyholm Tanja:</t>
        </r>
        <r>
          <rPr>
            <sz val="9"/>
            <color indexed="81"/>
            <rFont val="Tahoma"/>
            <family val="2"/>
          </rPr>
          <t xml:space="preserve">
Decrease(-) or increase(+) of purchased amount of electricity (kWh/a) based on the measure
</t>
        </r>
      </text>
    </comment>
    <comment ref="A40" authorId="0" shapeId="0" xr:uid="{00000000-0006-0000-0200-000004000000}">
      <text>
        <r>
          <rPr>
            <b/>
            <sz val="9"/>
            <color indexed="81"/>
            <rFont val="Tahoma"/>
            <family val="2"/>
          </rPr>
          <t>Nyholm Tanja:</t>
        </r>
        <r>
          <rPr>
            <sz val="9"/>
            <color indexed="81"/>
            <rFont val="Tahoma"/>
            <family val="2"/>
          </rPr>
          <t xml:space="preserve">
Decrease(-) or increase(+) of purchased amount of heating energy
 (kWh/a) based on the measure
 the measure
</t>
        </r>
      </text>
    </comment>
    <comment ref="A52" authorId="0" shapeId="0" xr:uid="{00000000-0006-0000-0200-000005000000}">
      <text>
        <r>
          <rPr>
            <b/>
            <sz val="9"/>
            <color indexed="81"/>
            <rFont val="Tahoma"/>
            <family val="2"/>
          </rPr>
          <t>Nyholm Tanja:</t>
        </r>
        <r>
          <rPr>
            <sz val="9"/>
            <color indexed="81"/>
            <rFont val="Tahoma"/>
            <family val="2"/>
          </rPr>
          <t xml:space="preserve">
Decrease(-) or increase(+) of purchased amount of cooling energy
 (kWh/a) based on the 
measure
</t>
        </r>
      </text>
    </comment>
    <comment ref="A64" authorId="0" shapeId="0" xr:uid="{00000000-0006-0000-0200-000006000000}">
      <text>
        <r>
          <rPr>
            <b/>
            <sz val="9"/>
            <color indexed="81"/>
            <rFont val="Tahoma"/>
            <family val="2"/>
          </rPr>
          <t>Nyholm Tanja:</t>
        </r>
        <r>
          <rPr>
            <sz val="9"/>
            <color indexed="81"/>
            <rFont val="Tahoma"/>
            <family val="2"/>
          </rPr>
          <t xml:space="preserve">
Decrease(-) or increase(+) of purchased amount of water
 (kWh/a) based on the measure
</t>
        </r>
      </text>
    </comment>
    <comment ref="A75" authorId="0" shapeId="0" xr:uid="{00000000-0006-0000-0200-000007000000}">
      <text>
        <r>
          <rPr>
            <b/>
            <sz val="9"/>
            <color indexed="81"/>
            <rFont val="Tahoma"/>
            <family val="2"/>
          </rPr>
          <t>Nyholm Tanja:</t>
        </r>
        <r>
          <rPr>
            <sz val="9"/>
            <color indexed="81"/>
            <rFont val="Tahoma"/>
            <family val="2"/>
          </rPr>
          <t xml:space="preserve">
Estimate the maintenance cost of measure per year.</t>
        </r>
      </text>
    </comment>
    <comment ref="A77" authorId="0" shapeId="0" xr:uid="{00000000-0006-0000-0200-000008000000}">
      <text>
        <r>
          <rPr>
            <b/>
            <sz val="9"/>
            <color indexed="81"/>
            <rFont val="Tahoma"/>
            <family val="2"/>
          </rPr>
          <t>Nyholm Tanja:</t>
        </r>
        <r>
          <rPr>
            <sz val="9"/>
            <color indexed="81"/>
            <rFont val="Tahoma"/>
            <family val="2"/>
          </rPr>
          <t xml:space="preserve">
If no subsidies granted for measure, insert value of 0.
</t>
        </r>
      </text>
    </comment>
    <comment ref="A79" authorId="0" shapeId="0" xr:uid="{00000000-0006-0000-0200-000009000000}">
      <text>
        <r>
          <rPr>
            <b/>
            <sz val="9"/>
            <color indexed="81"/>
            <rFont val="Tahoma"/>
            <family val="2"/>
          </rPr>
          <t>Nyholm Tanja:</t>
        </r>
        <r>
          <rPr>
            <sz val="9"/>
            <color indexed="81"/>
            <rFont val="Tahoma"/>
            <family val="2"/>
          </rPr>
          <t xml:space="preserve">
If not, insert value as "0"
</t>
        </r>
      </text>
    </comment>
    <comment ref="A81" authorId="0" shapeId="0" xr:uid="{00000000-0006-0000-0200-00000A000000}">
      <text>
        <r>
          <rPr>
            <b/>
            <sz val="9"/>
            <color indexed="81"/>
            <rFont val="Tahoma"/>
            <family val="2"/>
          </rPr>
          <t>Nyholm Tanja:</t>
        </r>
        <r>
          <rPr>
            <sz val="9"/>
            <color indexed="81"/>
            <rFont val="Tahoma"/>
            <family val="2"/>
          </rPr>
          <t xml:space="preserve">
usually between 2 % and 7 % for energy efficiency measures</t>
        </r>
      </text>
    </comment>
    <comment ref="A85" authorId="0" shapeId="0" xr:uid="{00000000-0006-0000-0200-00000B000000}">
      <text>
        <r>
          <rPr>
            <b/>
            <sz val="9"/>
            <color indexed="81"/>
            <rFont val="Tahoma"/>
            <family val="2"/>
          </rPr>
          <t>Nyholm Tanja:</t>
        </r>
        <r>
          <rPr>
            <sz val="9"/>
            <color indexed="81"/>
            <rFont val="Tahoma"/>
            <family val="2"/>
          </rPr>
          <t xml:space="preserve">
Estimate for costs due to bad indoor air  quality (if indoor air quality will became better due to measure) Decrease (-) or increase (+) costs.
 In Finland we have estimated, that costs are about 82€/human.
 If not, insert value as ”0"
Observe, that this value affects only to “Payback time 2”</t>
        </r>
      </text>
    </comment>
    <comment ref="A87" authorId="0" shapeId="0" xr:uid="{00000000-0006-0000-0200-00000C000000}">
      <text>
        <r>
          <rPr>
            <b/>
            <sz val="9"/>
            <color indexed="81"/>
            <rFont val="Tahoma"/>
            <family val="2"/>
          </rPr>
          <t>Nyholm Tanja:</t>
        </r>
        <r>
          <rPr>
            <sz val="9"/>
            <color indexed="81"/>
            <rFont val="Tahoma"/>
            <family val="2"/>
          </rPr>
          <t xml:space="preserve">
Observe, that this value affects only to the “Non-energy benefits”</t>
        </r>
      </text>
    </comment>
    <comment ref="A93" authorId="0" shapeId="0" xr:uid="{00000000-0006-0000-0200-00000D000000}">
      <text>
        <r>
          <rPr>
            <b/>
            <sz val="9"/>
            <color indexed="81"/>
            <rFont val="Tahoma"/>
            <family val="2"/>
          </rPr>
          <t>Nyholm Tanja:</t>
        </r>
        <r>
          <rPr>
            <sz val="9"/>
            <color indexed="81"/>
            <rFont val="Tahoma"/>
            <family val="2"/>
          </rPr>
          <t xml:space="preserve">
Decrease(+) or increase(-) </t>
        </r>
      </text>
    </comment>
    <comment ref="A95" authorId="0" shapeId="0" xr:uid="{00000000-0006-0000-0200-00000E000000}">
      <text>
        <r>
          <rPr>
            <b/>
            <sz val="9"/>
            <color indexed="81"/>
            <rFont val="Tahoma"/>
            <family val="2"/>
          </rPr>
          <t>Nyholm Tanja:</t>
        </r>
        <r>
          <rPr>
            <sz val="9"/>
            <color indexed="81"/>
            <rFont val="Tahoma"/>
            <family val="2"/>
          </rPr>
          <t xml:space="preserve">
Decrease(+) or increase(-) </t>
        </r>
      </text>
    </comment>
    <comment ref="A99" authorId="0" shapeId="0" xr:uid="{00000000-0006-0000-0200-00000F000000}">
      <text>
        <r>
          <rPr>
            <b/>
            <sz val="9"/>
            <color indexed="81"/>
            <rFont val="Tahoma"/>
            <family val="2"/>
          </rPr>
          <t>Nyholm Tanja:</t>
        </r>
        <r>
          <rPr>
            <sz val="9"/>
            <color indexed="81"/>
            <rFont val="Tahoma"/>
            <family val="2"/>
          </rPr>
          <t xml:space="preserve">
Decrease(+) or increase(-) </t>
        </r>
      </text>
    </comment>
    <comment ref="A103" authorId="0" shapeId="0" xr:uid="{00000000-0006-0000-0200-000010000000}">
      <text>
        <r>
          <rPr>
            <b/>
            <sz val="9"/>
            <color indexed="81"/>
            <rFont val="Tahoma"/>
            <family val="2"/>
          </rPr>
          <t>Nyholm Tanja:</t>
        </r>
        <r>
          <rPr>
            <sz val="9"/>
            <color indexed="81"/>
            <rFont val="Tahoma"/>
            <family val="2"/>
          </rPr>
          <t xml:space="preserve">
</t>
        </r>
      </text>
    </comment>
    <comment ref="A106" authorId="0" shapeId="0" xr:uid="{00000000-0006-0000-0200-000011000000}">
      <text>
        <r>
          <rPr>
            <b/>
            <sz val="9"/>
            <color indexed="81"/>
            <rFont val="Tahoma"/>
            <charset val="1"/>
          </rPr>
          <t>Nyholm Tanja:</t>
        </r>
        <r>
          <rPr>
            <sz val="9"/>
            <color indexed="81"/>
            <rFont val="Tahoma"/>
            <charset val="1"/>
          </rPr>
          <t xml:space="preserve">
Costs without interest rates</t>
        </r>
      </text>
    </comment>
    <comment ref="A114" authorId="0" shapeId="0" xr:uid="{00000000-0006-0000-0200-000012000000}">
      <text>
        <r>
          <rPr>
            <b/>
            <sz val="9"/>
            <color indexed="81"/>
            <rFont val="Tahoma"/>
            <charset val="1"/>
          </rPr>
          <t>Nyholm Tanja:</t>
        </r>
        <r>
          <rPr>
            <sz val="9"/>
            <color indexed="81"/>
            <rFont val="Tahoma"/>
            <charset val="1"/>
          </rPr>
          <t xml:space="preserve">
Costs without interest rates</t>
        </r>
      </text>
    </comment>
    <comment ref="A116" authorId="0" shapeId="0" xr:uid="{00000000-0006-0000-0200-000013000000}">
      <text>
        <r>
          <rPr>
            <b/>
            <sz val="9"/>
            <color indexed="81"/>
            <rFont val="Tahoma"/>
            <family val="2"/>
          </rPr>
          <t>Nyholm Tanja:</t>
        </r>
        <r>
          <rPr>
            <sz val="9"/>
            <color indexed="81"/>
            <rFont val="Tahoma"/>
            <family val="2"/>
          </rPr>
          <t xml:space="preserve">
= Decrease costs during Life cycle - Increase costs during Life cycle</t>
        </r>
      </text>
    </comment>
    <comment ref="A131" authorId="0" shapeId="0" xr:uid="{00000000-0006-0000-0200-000014000000}">
      <text>
        <r>
          <rPr>
            <b/>
            <sz val="9"/>
            <color indexed="81"/>
            <rFont val="Tahoma"/>
            <family val="2"/>
          </rPr>
          <t>Nyholm Tanja:</t>
        </r>
        <r>
          <rPr>
            <sz val="9"/>
            <color indexed="81"/>
            <rFont val="Tahoma"/>
            <family val="2"/>
          </rPr>
          <t xml:space="preserve">
Based on the given average value of non- energy benefits (B71/C71) and average amount of persons in the building(B74/C74). </t>
        </r>
      </text>
    </comment>
  </commentList>
</comments>
</file>

<file path=xl/sharedStrings.xml><?xml version="1.0" encoding="utf-8"?>
<sst xmlns="http://schemas.openxmlformats.org/spreadsheetml/2006/main" count="475" uniqueCount="307">
  <si>
    <t>Years</t>
  </si>
  <si>
    <t>Cash flow</t>
  </si>
  <si>
    <t>Underground thermal</t>
  </si>
  <si>
    <t>Ventilation</t>
  </si>
  <si>
    <t>Inputs</t>
  </si>
  <si>
    <t>Lightning for LED-lamps (100 lamps)</t>
  </si>
  <si>
    <t>Automation, estimating</t>
  </si>
  <si>
    <t>Solar panels(10kW, 100m2(10m2/kW))</t>
  </si>
  <si>
    <t>Solar collectors(30 m2/600€/m2)/500 kWh/m2), more because of 2m2/human?</t>
  </si>
  <si>
    <t>Decrease of energy (kWh/a)</t>
  </si>
  <si>
    <t>Price(€)/pcs</t>
  </si>
  <si>
    <t>1 pcs apartment house</t>
  </si>
  <si>
    <t>Diskount factor</t>
  </si>
  <si>
    <t>Cost savings saved annually</t>
  </si>
  <si>
    <t>Costs with maintenance</t>
  </si>
  <si>
    <t>Decrease of costs, noticed discont value €/a</t>
  </si>
  <si>
    <t>Cost savings(disk) saved annually</t>
  </si>
  <si>
    <t>Life cycle result (€)</t>
  </si>
  <si>
    <t>Ventilation: intelligent ventilation valve</t>
  </si>
  <si>
    <t>Professionals estimate the decrease of energy and solution prices</t>
  </si>
  <si>
    <t xml:space="preserve">In total </t>
  </si>
  <si>
    <t>Maintenance costs (%/price/a)</t>
  </si>
  <si>
    <t>Decrease/Increase(-) (kWh/a)</t>
  </si>
  <si>
    <t>Electricity amount changes</t>
  </si>
  <si>
    <t>Heating amount changes</t>
  </si>
  <si>
    <t>Oil/ District heating/electricity</t>
  </si>
  <si>
    <t>Using electricity???</t>
  </si>
  <si>
    <t>Cost savings, prices not change, annually</t>
  </si>
  <si>
    <t>When energyprice changing</t>
  </si>
  <si>
    <t>Decrease of costs, heating €/a</t>
  </si>
  <si>
    <t>Decrease of costs, electricity, €/a</t>
  </si>
  <si>
    <t>Decrease of CO2-emissions</t>
  </si>
  <si>
    <t>Total tCO2</t>
  </si>
  <si>
    <t>, total (kgCO2)</t>
  </si>
  <si>
    <t>Maintenance</t>
  </si>
  <si>
    <t>interest</t>
  </si>
  <si>
    <t>Interest</t>
  </si>
  <si>
    <t>Maintenance cost</t>
  </si>
  <si>
    <t>Cash flow ep not change,discost(maint, energ, interest)</t>
  </si>
  <si>
    <t>NPV 2(%), ep changes</t>
  </si>
  <si>
    <t>NPV 2 (%)</t>
  </si>
  <si>
    <t>NPV 1, %</t>
  </si>
  <si>
    <t>Cash flow,ep changes</t>
  </si>
  <si>
    <t>ROI 2 %</t>
  </si>
  <si>
    <t>ROI 2 %, ep change</t>
  </si>
  <si>
    <t>Discont maintenance</t>
  </si>
  <si>
    <t>Discont Maintenance</t>
  </si>
  <si>
    <t>ROI 1 %, Ep changes</t>
  </si>
  <si>
    <t>ROI 1 %</t>
  </si>
  <si>
    <t>Year</t>
  </si>
  <si>
    <t>Cost savings, annually</t>
  </si>
  <si>
    <t>Decrease of costs, noticed discont €/a</t>
  </si>
  <si>
    <t>Interest reality</t>
  </si>
  <si>
    <t>discont(maintenance, energy, interest)</t>
  </si>
  <si>
    <t>Heating system</t>
  </si>
  <si>
    <t>District heating</t>
  </si>
  <si>
    <t>Costs-energysubsidies</t>
  </si>
  <si>
    <t>Costs- Energy subsidies</t>
  </si>
  <si>
    <t>Decrease of cost, energy prices not change</t>
  </si>
  <si>
    <t>Decrease cost energy price not change disc</t>
  </si>
  <si>
    <t>Decrease cost energy prices not change disc, annually</t>
  </si>
  <si>
    <t>Decrease cost energy prices not change disc</t>
  </si>
  <si>
    <t>Cash flow with interest, energy price changes</t>
  </si>
  <si>
    <t>NPV 1 %, energy price changes</t>
  </si>
  <si>
    <t>Casflow with interest, energy price not change</t>
  </si>
  <si>
    <t>Energy price not change</t>
  </si>
  <si>
    <t>Decrease cost energy price not change disc, annually</t>
  </si>
  <si>
    <t>Inputs (Fill in green cells)</t>
  </si>
  <si>
    <t>Price of Electricity (€/kWh)</t>
  </si>
  <si>
    <t>Maintenance costs/year (€/year)</t>
  </si>
  <si>
    <t>(€)</t>
  </si>
  <si>
    <t>energy prices change</t>
  </si>
  <si>
    <t xml:space="preserve">interest rate, energy saving and maintenance will be added to the end of the year </t>
  </si>
  <si>
    <t>interest rate, energy saving and maintenance will be added to the end of the year</t>
  </si>
  <si>
    <t>ROI "net cash flow"</t>
  </si>
  <si>
    <t>ROI "net cash flow"ep changes</t>
  </si>
  <si>
    <t>ROI "cash flow" ep change</t>
  </si>
  <si>
    <t>ROI "cash flow"</t>
  </si>
  <si>
    <t>Cash flow1</t>
  </si>
  <si>
    <t>Internal rate of return, IRR (%)</t>
  </si>
  <si>
    <t>Cash flow2</t>
  </si>
  <si>
    <t>Geothermal heat pump system</t>
  </si>
  <si>
    <t>date</t>
  </si>
  <si>
    <t>change</t>
  </si>
  <si>
    <t>Oil heating</t>
  </si>
  <si>
    <t>Drop down box</t>
  </si>
  <si>
    <t xml:space="preserve">Set "If sentences", that calculating will stop, when life cycle is ended. </t>
  </si>
  <si>
    <t>Cash flow 2</t>
  </si>
  <si>
    <t xml:space="preserve">Energy price </t>
  </si>
  <si>
    <t>Cash flow 1</t>
  </si>
  <si>
    <t xml:space="preserve">Drawing of charts will stop at same time, when life cycle is ended. </t>
  </si>
  <si>
    <t>Electricity</t>
  </si>
  <si>
    <t>Maintenance costs ( % of the investment cost/year)</t>
  </si>
  <si>
    <t>Ventilation system</t>
  </si>
  <si>
    <t>Exhaust ventilation without heat recovery</t>
  </si>
  <si>
    <t>10-20.10</t>
  </si>
  <si>
    <t>Errors fixing and other modifications</t>
  </si>
  <si>
    <t>1. Solution( solar panels) has been changed to ventilation renovation, that is assumed to do on same time with other renovation. Independent its too expensive to make</t>
  </si>
  <si>
    <t xml:space="preserve">Price of heating energy (€/kWh) </t>
  </si>
  <si>
    <t xml:space="preserve">Ventilation system with heat recovery </t>
  </si>
  <si>
    <t xml:space="preserve">(for example decrease health costs) </t>
  </si>
  <si>
    <t xml:space="preserve">Net Present Value, NPV (€) </t>
  </si>
  <si>
    <t xml:space="preserve">Price of cooling energy (€/kWh) </t>
  </si>
  <si>
    <t>Decrease of costs, cooling €/a</t>
  </si>
  <si>
    <t>Cooling system</t>
  </si>
  <si>
    <t>District cooling</t>
  </si>
  <si>
    <t>Modifing</t>
  </si>
  <si>
    <t>Cooling energy added</t>
  </si>
  <si>
    <t>Cash flow (€)</t>
  </si>
  <si>
    <t>Year_1</t>
  </si>
  <si>
    <t>Year_2</t>
  </si>
  <si>
    <t>Cashflow_2</t>
  </si>
  <si>
    <t>NPV_1</t>
  </si>
  <si>
    <t>NPV_2</t>
  </si>
  <si>
    <t>Year_1NPV</t>
  </si>
  <si>
    <t>Year_2NPV</t>
  </si>
  <si>
    <t>Year_1Cf</t>
  </si>
  <si>
    <t>Year_2Cf</t>
  </si>
  <si>
    <t>Year_1Payback</t>
  </si>
  <si>
    <t>Year_2Payback</t>
  </si>
  <si>
    <t>Payback_1</t>
  </si>
  <si>
    <t>Payback_2</t>
  </si>
  <si>
    <t>Payback_1_invest</t>
  </si>
  <si>
    <t>Payback_2_invest</t>
  </si>
  <si>
    <t>Year_1CO2</t>
  </si>
  <si>
    <t>Year_2CO2</t>
  </si>
  <si>
    <t>CO2_1</t>
  </si>
  <si>
    <t>CO2_2</t>
  </si>
  <si>
    <t>Return_on_investment_1</t>
  </si>
  <si>
    <t>Return_on_investment_2</t>
  </si>
  <si>
    <t>Return_on_investment_1ep_change</t>
  </si>
  <si>
    <t>Return_on_investment_2ep_change</t>
  </si>
  <si>
    <t>The automatic adaptation of the x-axis of the graph to the lenght of life cycle</t>
  </si>
  <si>
    <t>Added Cashflow of life cycle also to the second page</t>
  </si>
  <si>
    <t>When energy prices changing 2</t>
  </si>
  <si>
    <t>Pay back time (year)</t>
  </si>
  <si>
    <t>Modifing…….</t>
  </si>
  <si>
    <t xml:space="preserve">Pay back time 2 (year), includes the effects of non-energy benefit </t>
  </si>
  <si>
    <t>Cashflow_1</t>
  </si>
  <si>
    <t>Type of building</t>
  </si>
  <si>
    <t>An Energy effeciency measure</t>
  </si>
  <si>
    <t>change 2</t>
  </si>
  <si>
    <t>ELECTRICITY-DATA</t>
  </si>
  <si>
    <t>HEATING ENERGY- DATA</t>
  </si>
  <si>
    <t>Care/rest home/Hospital</t>
  </si>
  <si>
    <t>Sport/exercise center</t>
  </si>
  <si>
    <t>Church/religious building</t>
  </si>
  <si>
    <t>Commercial</t>
  </si>
  <si>
    <t>Housing/ Residential building</t>
  </si>
  <si>
    <t>Kindergarden/ School/ University</t>
  </si>
  <si>
    <t>Building identification (name or address)</t>
  </si>
  <si>
    <t>Total sum of the investment</t>
  </si>
  <si>
    <t>Price of water (€/m3)</t>
  </si>
  <si>
    <t>Decrease of cost, energy and water prices not change</t>
  </si>
  <si>
    <t>When energy and water prices change 1</t>
  </si>
  <si>
    <t>Decrease of costs, water, €/a</t>
  </si>
  <si>
    <t>POIS</t>
  </si>
  <si>
    <t>Option 2.Estimation for energy/water price change (% /year) after first year</t>
  </si>
  <si>
    <t>Finance interest rate (%/remaining investment/year)</t>
  </si>
  <si>
    <t>Present and future money will be comparable, when future money are discounted.</t>
  </si>
  <si>
    <t>Option 1.Estimation for energy/water price change (% /year) after first year</t>
  </si>
  <si>
    <t>Outputs:</t>
  </si>
  <si>
    <t xml:space="preserve">Both for electricity, heating systems energy and cooling energy </t>
  </si>
  <si>
    <t>Guidance for using tool</t>
  </si>
  <si>
    <r>
      <t>On the first page “</t>
    </r>
    <r>
      <rPr>
        <sz val="14"/>
        <color theme="1"/>
        <rFont val="Calibri"/>
        <family val="2"/>
        <scheme val="minor"/>
      </rPr>
      <t>Guidance for using tool”</t>
    </r>
  </si>
  <si>
    <r>
      <t xml:space="preserve">On the second page </t>
    </r>
    <r>
      <rPr>
        <sz val="14"/>
        <color theme="1"/>
        <rFont val="Calibri"/>
        <family val="2"/>
        <scheme val="minor"/>
      </rPr>
      <t>”Inputs and results”</t>
    </r>
  </si>
  <si>
    <t>·       Sensitivity analyse, if energy / water prices change in future</t>
  </si>
  <si>
    <r>
      <rPr>
        <b/>
        <sz val="11"/>
        <color theme="1"/>
        <rFont val="Calibri"/>
        <family val="2"/>
        <scheme val="minor"/>
      </rPr>
      <t>·       CO2-emissions of the  heating energy, electricity and cooling energy</t>
    </r>
    <r>
      <rPr>
        <sz val="11"/>
        <color theme="1"/>
        <rFont val="Calibri"/>
        <family val="2"/>
        <scheme val="minor"/>
      </rPr>
      <t xml:space="preserve"> (kgCO2/kWh).</t>
    </r>
  </si>
  <si>
    <r>
      <rPr>
        <b/>
        <sz val="11"/>
        <color theme="1"/>
        <rFont val="Calibri"/>
        <family val="2"/>
        <scheme val="minor"/>
      </rPr>
      <t>·       Energy prices</t>
    </r>
    <r>
      <rPr>
        <sz val="11"/>
        <color theme="1"/>
        <rFont val="Calibri"/>
        <family val="2"/>
        <scheme val="minor"/>
      </rPr>
      <t xml:space="preserve"> (€/kWh) for the heating system, electricity and cooling energy</t>
    </r>
  </si>
  <si>
    <r>
      <rPr>
        <b/>
        <sz val="11"/>
        <color theme="1"/>
        <rFont val="Calibri"/>
        <family val="2"/>
        <scheme val="minor"/>
      </rPr>
      <t xml:space="preserve">·       Water price </t>
    </r>
    <r>
      <rPr>
        <sz val="11"/>
        <color theme="1"/>
        <rFont val="Calibri"/>
        <family val="2"/>
        <scheme val="minor"/>
      </rPr>
      <t xml:space="preserve">(€/m3) </t>
    </r>
  </si>
  <si>
    <t>Discount rate %</t>
  </si>
  <si>
    <t>Outputs</t>
  </si>
  <si>
    <r>
      <t>Results during the life cycle, presented also with charts and numbers (on pages 3-7)</t>
    </r>
    <r>
      <rPr>
        <b/>
        <sz val="16"/>
        <color theme="1"/>
        <rFont val="Calibri"/>
        <family val="2"/>
        <scheme val="minor"/>
      </rPr>
      <t>:</t>
    </r>
  </si>
  <si>
    <r>
      <t>·     </t>
    </r>
    <r>
      <rPr>
        <b/>
        <sz val="11"/>
        <color theme="1"/>
        <rFont val="Calibri"/>
        <family val="2"/>
        <scheme val="minor"/>
      </rPr>
      <t xml:space="preserve">Payback time </t>
    </r>
    <r>
      <rPr>
        <sz val="11"/>
        <color theme="1"/>
        <rFont val="Calibri"/>
        <family val="2"/>
        <scheme val="minor"/>
      </rPr>
      <t>(year) (Investment cost divided by the annual savings (not interest rate))</t>
    </r>
  </si>
  <si>
    <r>
      <t>·     </t>
    </r>
    <r>
      <rPr>
        <b/>
        <sz val="11"/>
        <color theme="1"/>
        <rFont val="Calibri"/>
        <family val="2"/>
        <scheme val="minor"/>
      </rPr>
      <t xml:space="preserve">Net present value NPV </t>
    </r>
    <r>
      <rPr>
        <sz val="11"/>
        <color theme="1"/>
        <rFont val="Calibri"/>
        <family val="2"/>
        <scheme val="minor"/>
      </rPr>
      <t>(€) (All the future cash flows (in a given life cycle) discounted to present value)</t>
    </r>
  </si>
  <si>
    <r>
      <t xml:space="preserve">3. Package of charts </t>
    </r>
    <r>
      <rPr>
        <sz val="11"/>
        <color theme="1"/>
        <rFont val="Calibri"/>
        <family val="2"/>
        <scheme val="minor"/>
      </rPr>
      <t>(All charts on the same page)</t>
    </r>
  </si>
  <si>
    <r>
      <t>5. Net present value, NPV</t>
    </r>
    <r>
      <rPr>
        <sz val="11"/>
        <color theme="1"/>
        <rFont val="Calibri"/>
        <family val="2"/>
        <scheme val="minor"/>
      </rPr>
      <t xml:space="preserve"> = All the future cash flows (in a given life cycle) discounted to present value</t>
    </r>
  </si>
  <si>
    <r>
      <t>6. Simple payback time</t>
    </r>
    <r>
      <rPr>
        <sz val="11"/>
        <color theme="1"/>
        <rFont val="Calibri"/>
        <family val="2"/>
        <scheme val="minor"/>
      </rPr>
      <t xml:space="preserve"> = Investment cost divided by the annual savings (not interest rate)</t>
    </r>
  </si>
  <si>
    <t>After that you fill in details about your energy efficiency data (to the green cells):</t>
  </si>
  <si>
    <r>
      <rPr>
        <b/>
        <sz val="11"/>
        <color theme="1"/>
        <rFont val="Calibri"/>
        <family val="2"/>
        <scheme val="minor"/>
      </rPr>
      <t>· </t>
    </r>
    <r>
      <rPr>
        <sz val="11"/>
        <color theme="1"/>
        <rFont val="Calibri"/>
        <family val="2"/>
        <scheme val="minor"/>
      </rPr>
      <t>     </t>
    </r>
    <r>
      <rPr>
        <b/>
        <sz val="11"/>
        <color theme="1"/>
        <rFont val="Calibri"/>
        <family val="2"/>
        <scheme val="minor"/>
      </rPr>
      <t xml:space="preserve"> Investment cost of measures</t>
    </r>
    <r>
      <rPr>
        <sz val="11"/>
        <color theme="1"/>
        <rFont val="Calibri"/>
        <family val="2"/>
        <scheme val="minor"/>
      </rPr>
      <t xml:space="preserve"> (€) and estimated maintenance cost per year (% / investment costs / year).</t>
    </r>
  </si>
  <si>
    <t>Observe, that this value affects only to “Payback time 2”</t>
  </si>
  <si>
    <r>
      <rPr>
        <b/>
        <sz val="11"/>
        <color theme="1"/>
        <rFont val="Calibri"/>
        <family val="2"/>
        <scheme val="minor"/>
      </rPr>
      <t>·       Number of people in the building</t>
    </r>
    <r>
      <rPr>
        <sz val="11"/>
        <color theme="1"/>
        <rFont val="Calibri"/>
        <family val="2"/>
        <scheme val="minor"/>
      </rPr>
      <t xml:space="preserve"> (pcs)</t>
    </r>
  </si>
  <si>
    <t>Observe, that this value affects only to “Non-energy benefits”</t>
  </si>
  <si>
    <r>
      <rPr>
        <b/>
        <sz val="11"/>
        <color theme="1"/>
        <rFont val="Calibri"/>
        <family val="2"/>
        <scheme val="minor"/>
      </rPr>
      <t>·       Discount rate</t>
    </r>
    <r>
      <rPr>
        <sz val="11"/>
        <color theme="1"/>
        <rFont val="Calibri"/>
        <family val="2"/>
        <scheme val="minor"/>
      </rPr>
      <t xml:space="preserve"> (%) (which is usually between 2 % and 7 % for energy efficiency measures) </t>
    </r>
  </si>
  <si>
    <r>
      <rPr>
        <b/>
        <sz val="11"/>
        <color theme="1"/>
        <rFont val="Calibri"/>
        <family val="2"/>
        <scheme val="minor"/>
      </rPr>
      <t xml:space="preserve">·       Finance interest rate </t>
    </r>
    <r>
      <rPr>
        <sz val="11"/>
        <color theme="1"/>
        <rFont val="Calibri"/>
        <family val="2"/>
        <scheme val="minor"/>
      </rPr>
      <t xml:space="preserve">(%/remaining investment/year). If not, insert value as "0". </t>
    </r>
  </si>
  <si>
    <r>
      <t>·     </t>
    </r>
    <r>
      <rPr>
        <b/>
        <sz val="11"/>
        <color theme="1"/>
        <rFont val="Calibri"/>
        <family val="2"/>
        <scheme val="minor"/>
      </rPr>
      <t xml:space="preserve">Payback time 2 </t>
    </r>
    <r>
      <rPr>
        <sz val="11"/>
        <color theme="1"/>
        <rFont val="Calibri"/>
        <family val="2"/>
        <scheme val="minor"/>
      </rPr>
      <t>(year), includes also the effects of non-energy benefits (reduction of health costs due to better indoor air quality etc.)</t>
    </r>
  </si>
  <si>
    <r>
      <t>·     </t>
    </r>
    <r>
      <rPr>
        <b/>
        <sz val="11"/>
        <color theme="1"/>
        <rFont val="Calibri"/>
        <family val="2"/>
        <scheme val="minor"/>
      </rPr>
      <t xml:space="preserve">Cash flow </t>
    </r>
    <r>
      <rPr>
        <sz val="11"/>
        <color theme="1"/>
        <rFont val="Calibri"/>
        <family val="2"/>
        <scheme val="minor"/>
      </rPr>
      <t>(€) (Annual profits (not discounted) – (investment costs + finance costs + other costs))</t>
    </r>
  </si>
  <si>
    <r>
      <t>4. Cash flow analysis</t>
    </r>
    <r>
      <rPr>
        <sz val="11"/>
        <color theme="1"/>
        <rFont val="Calibri"/>
        <family val="2"/>
        <scheme val="minor"/>
      </rPr>
      <t xml:space="preserve"> = Annual profits (not discounted) – (investment costs + finance costs + other costs).</t>
    </r>
  </si>
  <si>
    <r>
      <rPr>
        <b/>
        <sz val="11"/>
        <color theme="1"/>
        <rFont val="Calibri"/>
        <family val="2"/>
        <scheme val="minor"/>
      </rPr>
      <t>Notice: Results with interest rate</t>
    </r>
    <r>
      <rPr>
        <sz val="11"/>
        <color theme="1"/>
        <rFont val="Calibri"/>
        <family val="2"/>
        <scheme val="minor"/>
      </rPr>
      <t xml:space="preserve"> = Annual Calculating the remaining investment cost of measure = </t>
    </r>
  </si>
  <si>
    <t>Some other Non-energy benefits?</t>
  </si>
  <si>
    <r>
      <t>Includes the price of water and</t>
    </r>
    <r>
      <rPr>
        <b/>
        <sz val="11"/>
        <color theme="1"/>
        <rFont val="Calibri"/>
        <family val="2"/>
        <scheme val="minor"/>
      </rPr>
      <t xml:space="preserve"> </t>
    </r>
    <r>
      <rPr>
        <sz val="11"/>
        <color theme="1"/>
        <rFont val="Calibri"/>
        <family val="2"/>
        <scheme val="minor"/>
      </rPr>
      <t>waste water</t>
    </r>
  </si>
  <si>
    <t>Investment cost of measures(€)</t>
  </si>
  <si>
    <t>COOLING ENERGY- DATA</t>
  </si>
  <si>
    <t>WATER CONSUMPTION- DATA</t>
  </si>
  <si>
    <t>CO2-emissions of the electricity (kgCO2/kWh)</t>
  </si>
  <si>
    <t>CO2-emissions of the heating energy (kgCO2/kWh)</t>
  </si>
  <si>
    <t>CO2-emissions of the cooling energy (kgCO2/kWh)</t>
  </si>
  <si>
    <t>Number of people in the building (pcs)</t>
  </si>
  <si>
    <t>Option 1. Estimation for electricity price change  (%/year)</t>
  </si>
  <si>
    <t>Option 2. Estimation for electricity price change  (%/year)</t>
  </si>
  <si>
    <t>Option 1. Estimation for heating energy price change  (%/year)</t>
  </si>
  <si>
    <t>Option 2. Estimation for heating energy price change  (%/year)</t>
  </si>
  <si>
    <t>Option 1. Estimation for cooling energy price change  (%/year)</t>
  </si>
  <si>
    <t>Option 2. Estimation for cooling energy price change  (%/year)</t>
  </si>
  <si>
    <t>Option 1. Estimation for water price change  (%/year)</t>
  </si>
  <si>
    <t>Option 2. Estimation for water price change  (%/year)</t>
  </si>
  <si>
    <t>Investment cost of measures - energy subsidies (€)</t>
  </si>
  <si>
    <t>Reduction of CO2- emissions (kgCO2/year)</t>
  </si>
  <si>
    <t>Net Present Value, NPV (€), Option 1. Energy/water prices change</t>
  </si>
  <si>
    <t>Net Present Value, NPV (€), Option 2. Energy/water prices change</t>
  </si>
  <si>
    <t>Internal rate of return, IRR (%), Option 1. Energy/water prices change</t>
  </si>
  <si>
    <t>Internal rate of return, IRR (%), Option 2. Energy/water prices change</t>
  </si>
  <si>
    <t>Cash flow (€), Option 1. Energy/water prices change</t>
  </si>
  <si>
    <t>Cash flow (€), Option 2. Energy/water prices change</t>
  </si>
  <si>
    <t>Decrease energy/water costs (€)</t>
  </si>
  <si>
    <t>Payback_1 Decrease energy/water costs (€)</t>
  </si>
  <si>
    <t>Payback_2 Decrease energy/water costs (€)</t>
  </si>
  <si>
    <t>Cashflow_2 Option 2. Energy/water prices change</t>
  </si>
  <si>
    <t>Cashflow_1 Option 2. Energy/water prices change</t>
  </si>
  <si>
    <t>Cashflow_2 Option 1. Energy/water prices change</t>
  </si>
  <si>
    <t>Cashflow_1_Option 1. Energy/water prices change</t>
  </si>
  <si>
    <t>NPV_1 Option 1. Energy/water prices change</t>
  </si>
  <si>
    <t>NPV_2 Option 1. Energy/water prices change</t>
  </si>
  <si>
    <t>NPV_1 Option 2. Energy/water prices change</t>
  </si>
  <si>
    <t>NPV_2 Option 2. Energy/water prices change</t>
  </si>
  <si>
    <t>Option 1. Energy/water prices change</t>
  </si>
  <si>
    <t>Option 2. Energy/water prices change</t>
  </si>
  <si>
    <t>Other building</t>
  </si>
  <si>
    <t>Heat pump</t>
  </si>
  <si>
    <t>Other</t>
  </si>
  <si>
    <t>Ventilation with heat recovery</t>
  </si>
  <si>
    <t>None</t>
  </si>
  <si>
    <r>
      <t xml:space="preserve">·       An Energy effeciency measure: </t>
    </r>
    <r>
      <rPr>
        <sz val="11"/>
        <color theme="1"/>
        <rFont val="Calibri"/>
        <family val="2"/>
        <scheme val="minor"/>
      </rPr>
      <t>fill in measures that you would like to calculate.</t>
    </r>
  </si>
  <si>
    <t>Lenght of life cycle/ / Technical lifetime (years)</t>
  </si>
  <si>
    <t>COST OF THE MEASURE</t>
  </si>
  <si>
    <t>NON-ENERGY AFFECTS</t>
  </si>
  <si>
    <t>DECREASE ENERGY/ WATER COSTS</t>
  </si>
  <si>
    <t>INCREASE COSTS</t>
  </si>
  <si>
    <t>REDUCTION OF CO2-EMISSIONS</t>
  </si>
  <si>
    <t>NON- ENERGY BENEFITS</t>
  </si>
  <si>
    <t xml:space="preserve">COSTS OF LIFE CYCLE </t>
  </si>
  <si>
    <t>COSTS OF THE MEASURE</t>
  </si>
  <si>
    <t>NON-ENERGY IMPACTS</t>
  </si>
  <si>
    <t>Decrease of heating cost(€/year)</t>
  </si>
  <si>
    <t>Decrease of electricity cost (€/year)</t>
  </si>
  <si>
    <t>Decrease of cooling cost (€/year)</t>
  </si>
  <si>
    <t>Total decrease of energy costs/year (€/year)</t>
  </si>
  <si>
    <t>Decrease of water cost (€/year)</t>
  </si>
  <si>
    <r>
      <t>Total decrease of costs during</t>
    </r>
    <r>
      <rPr>
        <b/>
        <sz val="11"/>
        <rFont val="Calibri"/>
        <family val="2"/>
        <scheme val="minor"/>
      </rPr>
      <t xml:space="preserve"> Life-cycle  (€)</t>
    </r>
  </si>
  <si>
    <r>
      <t>Increase of costs during</t>
    </r>
    <r>
      <rPr>
        <b/>
        <sz val="11"/>
        <rFont val="Calibri"/>
        <family val="2"/>
        <scheme val="minor"/>
      </rPr>
      <t xml:space="preserve"> Life-cycle  (€)</t>
    </r>
  </si>
  <si>
    <t>Reduction of CO2- emissions during the Life cycle (kgCO2)</t>
  </si>
  <si>
    <t>FINANCIAL RESULTS</t>
  </si>
  <si>
    <t>Decrease cost due the Non-energy benefit (€/year)</t>
  </si>
  <si>
    <t>·       Length of life cycle/ Technical lifetime (years between 1-50).</t>
  </si>
  <si>
    <r>
      <t>If</t>
    </r>
    <r>
      <rPr>
        <b/>
        <sz val="11"/>
        <color theme="1"/>
        <rFont val="Calibri"/>
        <family val="2"/>
        <scheme val="minor"/>
      </rPr>
      <t xml:space="preserve"> </t>
    </r>
    <r>
      <rPr>
        <sz val="11"/>
        <color theme="1"/>
        <rFont val="Calibri"/>
        <family val="2"/>
        <scheme val="minor"/>
      </rPr>
      <t>the solution</t>
    </r>
    <r>
      <rPr>
        <b/>
        <sz val="11"/>
        <color theme="1"/>
        <rFont val="Calibri"/>
        <family val="2"/>
        <scheme val="minor"/>
      </rPr>
      <t xml:space="preserve"> decreases</t>
    </r>
    <r>
      <rPr>
        <sz val="11"/>
        <color theme="1"/>
        <rFont val="Calibri"/>
        <family val="2"/>
        <scheme val="minor"/>
      </rPr>
      <t xml:space="preserve"> purchased</t>
    </r>
    <r>
      <rPr>
        <b/>
        <sz val="11"/>
        <color theme="1"/>
        <rFont val="Calibri"/>
        <family val="2"/>
        <scheme val="minor"/>
      </rPr>
      <t xml:space="preserve"> </t>
    </r>
    <r>
      <rPr>
        <sz val="11"/>
        <color theme="1"/>
        <rFont val="Calibri"/>
        <family val="2"/>
        <scheme val="minor"/>
      </rPr>
      <t xml:space="preserve">energy/water, the feeded value is </t>
    </r>
    <r>
      <rPr>
        <b/>
        <sz val="11"/>
        <color theme="1"/>
        <rFont val="Calibri"/>
        <family val="2"/>
        <scheme val="minor"/>
      </rPr>
      <t>negative (-)</t>
    </r>
  </si>
  <si>
    <r>
      <t xml:space="preserve">If the solution </t>
    </r>
    <r>
      <rPr>
        <b/>
        <sz val="11"/>
        <color theme="1"/>
        <rFont val="Calibri"/>
        <family val="2"/>
        <scheme val="minor"/>
      </rPr>
      <t xml:space="preserve">increases </t>
    </r>
    <r>
      <rPr>
        <sz val="11"/>
        <color theme="1"/>
        <rFont val="Calibri"/>
        <family val="2"/>
        <scheme val="minor"/>
      </rPr>
      <t xml:space="preserve">purchased energy/water, the feeded value is </t>
    </r>
    <r>
      <rPr>
        <b/>
        <sz val="11"/>
        <color theme="1"/>
        <rFont val="Calibri"/>
        <family val="2"/>
        <scheme val="minor"/>
      </rPr>
      <t>positive (+)</t>
    </r>
  </si>
  <si>
    <t>Change of purchased amount of heating energy (kWh/year)</t>
  </si>
  <si>
    <t>Change of purchased amount of electricity(kWh/year)</t>
  </si>
  <si>
    <t>Change of purchased amount of cooling energy (kWh/year)</t>
  </si>
  <si>
    <t>Energy demand before measures (kWh/a)</t>
  </si>
  <si>
    <t>Heating energy</t>
  </si>
  <si>
    <t>Cooling energy</t>
  </si>
  <si>
    <t>IMPACT OF THE MEASURE</t>
  </si>
  <si>
    <r>
      <rPr>
        <b/>
        <sz val="11"/>
        <color theme="1"/>
        <rFont val="Calibri"/>
        <family val="2"/>
        <scheme val="minor"/>
      </rPr>
      <t>·       Change of purchased amount of energy</t>
    </r>
    <r>
      <rPr>
        <sz val="11"/>
        <color theme="1"/>
        <rFont val="Calibri"/>
        <family val="2"/>
        <scheme val="minor"/>
      </rPr>
      <t xml:space="preserve"> (kWh/year)) based on</t>
    </r>
    <r>
      <rPr>
        <b/>
        <sz val="11"/>
        <color theme="1"/>
        <rFont val="Calibri"/>
        <family val="2"/>
        <scheme val="minor"/>
      </rPr>
      <t xml:space="preserve"> the measure.</t>
    </r>
  </si>
  <si>
    <r>
      <rPr>
        <b/>
        <sz val="11"/>
        <color theme="1"/>
        <rFont val="Calibri"/>
        <family val="2"/>
        <scheme val="minor"/>
      </rPr>
      <t>·       Change of purchased amount of water</t>
    </r>
    <r>
      <rPr>
        <sz val="11"/>
        <color theme="1"/>
        <rFont val="Calibri"/>
        <family val="2"/>
        <scheme val="minor"/>
      </rPr>
      <t xml:space="preserve"> (m3/year) based on</t>
    </r>
    <r>
      <rPr>
        <b/>
        <sz val="11"/>
        <color theme="1"/>
        <rFont val="Calibri"/>
        <family val="2"/>
        <scheme val="minor"/>
      </rPr>
      <t xml:space="preserve"> the measure</t>
    </r>
  </si>
  <si>
    <t>First you fill in the background information about the building and energy demand before measures (to the grey cells).</t>
  </si>
  <si>
    <t>IMPACT OF THE MEASURES</t>
  </si>
  <si>
    <r>
      <rPr>
        <b/>
        <sz val="11"/>
        <color theme="1"/>
        <rFont val="Calibri"/>
        <family val="2"/>
        <scheme val="minor"/>
      </rPr>
      <t xml:space="preserve">·       Non-energy benefits </t>
    </r>
    <r>
      <rPr>
        <sz val="11"/>
        <color theme="1"/>
        <rFont val="Calibri"/>
        <family val="2"/>
        <scheme val="minor"/>
      </rPr>
      <t>(€/human): Estimate for costs due to bad indoor air  quality (if indoor air quality will became better due to measure).</t>
    </r>
  </si>
  <si>
    <t>7. Change of CO2- emissions</t>
  </si>
  <si>
    <t xml:space="preserve">                 Decrease cost (-) or increase cost(+) If not,  insert value as ”0”. </t>
  </si>
  <si>
    <t>Building</t>
  </si>
  <si>
    <t>Change of purchased amount of water (m3/year)</t>
  </si>
  <si>
    <t xml:space="preserve">Non- energy benefits: Change of health cost/human (€/human) </t>
  </si>
  <si>
    <t>Reduction of CO2-emissions / CO2-emissions before measures (%)</t>
  </si>
  <si>
    <t>Non-energy benefits</t>
  </si>
  <si>
    <t>Financial results</t>
  </si>
  <si>
    <t>Reduction of CO2-emissions</t>
  </si>
  <si>
    <r>
      <rPr>
        <b/>
        <u/>
        <sz val="11"/>
        <color theme="1"/>
        <rFont val="Calibri"/>
        <family val="2"/>
        <scheme val="minor"/>
      </rPr>
      <t xml:space="preserve">Increase costs in Life cycle </t>
    </r>
    <r>
      <rPr>
        <u/>
        <sz val="11"/>
        <color theme="1"/>
        <rFont val="Calibri"/>
        <family val="2"/>
        <scheme val="minor"/>
      </rPr>
      <t>(€)</t>
    </r>
    <r>
      <rPr>
        <sz val="11"/>
        <color theme="1"/>
        <rFont val="Calibri"/>
        <family val="2"/>
        <scheme val="minor"/>
      </rPr>
      <t xml:space="preserve"> (Investment cost - energy subsidies + maintenance cost)</t>
    </r>
  </si>
  <si>
    <r>
      <rPr>
        <b/>
        <u/>
        <sz val="11"/>
        <color theme="1"/>
        <rFont val="Calibri"/>
        <family val="2"/>
        <scheme val="minor"/>
      </rPr>
      <t xml:space="preserve">Decrease cost in Life cycle </t>
    </r>
    <r>
      <rPr>
        <u/>
        <sz val="11"/>
        <color theme="1"/>
        <rFont val="Calibri"/>
        <family val="2"/>
        <scheme val="minor"/>
      </rPr>
      <t>(€)</t>
    </r>
    <r>
      <rPr>
        <sz val="11"/>
        <color theme="1"/>
        <rFont val="Calibri"/>
        <family val="2"/>
        <scheme val="minor"/>
      </rPr>
      <t xml:space="preserve"> (Decrease energy costs + decrease water costs)</t>
    </r>
  </si>
  <si>
    <r>
      <rPr>
        <b/>
        <u/>
        <sz val="11"/>
        <color theme="1"/>
        <rFont val="Calibri"/>
        <family val="2"/>
        <scheme val="minor"/>
      </rPr>
      <t xml:space="preserve">Life cycle result </t>
    </r>
    <r>
      <rPr>
        <u/>
        <sz val="11"/>
        <color theme="1"/>
        <rFont val="Calibri"/>
        <family val="2"/>
        <scheme val="minor"/>
      </rPr>
      <t>(€)</t>
    </r>
    <r>
      <rPr>
        <b/>
        <u/>
        <sz val="11"/>
        <color theme="1"/>
        <rFont val="Calibri"/>
        <family val="2"/>
        <scheme val="minor"/>
      </rPr>
      <t xml:space="preserve"> </t>
    </r>
    <r>
      <rPr>
        <sz val="11"/>
        <color theme="1"/>
        <rFont val="Calibri"/>
        <family val="2"/>
        <scheme val="minor"/>
      </rPr>
      <t>(Decrease costs in Life cycle - Increase cost in Life cycle) (not interest rate)</t>
    </r>
  </si>
  <si>
    <t xml:space="preserve">            ·      </t>
  </si>
  <si>
    <r>
      <t xml:space="preserve">·      </t>
    </r>
    <r>
      <rPr>
        <b/>
        <sz val="11"/>
        <color theme="1"/>
        <rFont val="Calibri"/>
        <family val="2"/>
        <scheme val="minor"/>
      </rPr>
      <t xml:space="preserve">Reduction of CO2- emissions in life cycle </t>
    </r>
    <r>
      <rPr>
        <sz val="11"/>
        <color theme="1"/>
        <rFont val="Calibri"/>
        <family val="2"/>
        <scheme val="minor"/>
      </rPr>
      <t>(kgCO2)</t>
    </r>
  </si>
  <si>
    <t>Basic information (Fill in grey cells)</t>
  </si>
  <si>
    <r>
      <t>·     </t>
    </r>
    <r>
      <rPr>
        <b/>
        <sz val="11"/>
        <color theme="1"/>
        <rFont val="Calibri"/>
        <family val="2"/>
        <scheme val="minor"/>
      </rPr>
      <t xml:space="preserve">Internal rate of return, IRR </t>
    </r>
    <r>
      <rPr>
        <sz val="11"/>
        <color theme="1"/>
        <rFont val="Calibri"/>
        <family val="2"/>
        <scheme val="minor"/>
      </rPr>
      <t>(%)</t>
    </r>
    <r>
      <rPr>
        <b/>
        <sz val="11"/>
        <color theme="1"/>
        <rFont val="Calibri"/>
        <family val="2"/>
        <scheme val="minor"/>
      </rPr>
      <t xml:space="preserve"> (</t>
    </r>
    <r>
      <rPr>
        <sz val="11"/>
        <color theme="1"/>
        <rFont val="Calibri"/>
        <family val="2"/>
        <scheme val="minor"/>
      </rPr>
      <t>Internal rate of return is the discount rate that makes investments Net present value to 0)</t>
    </r>
  </si>
  <si>
    <t>Different financial calculation methods</t>
  </si>
  <si>
    <t>Net present value, NPV</t>
  </si>
  <si>
    <t>Internal rate of return, IRR</t>
  </si>
  <si>
    <t>Internal rate of return is the discount rate that makes investments net present value to 0.</t>
  </si>
  <si>
    <t>Discount rate</t>
  </si>
  <si>
    <t>Simple payback time</t>
  </si>
  <si>
    <t>(Invest cost - subsidies)/(Decrease energy costs)</t>
  </si>
  <si>
    <t>The sum of all discounted present and future cash flows is called net present value</t>
  </si>
  <si>
    <t xml:space="preserve">Cash flow </t>
  </si>
  <si>
    <t xml:space="preserve">       can be also discounted with given discount rate.</t>
  </si>
  <si>
    <t>The sum of costs and profits for each time period</t>
  </si>
  <si>
    <t>The discount rate is used to discount the amounts of money at different time points.</t>
  </si>
  <si>
    <t xml:space="preserve">       can include finance costs (debt payments)</t>
  </si>
  <si>
    <t>Energy subsidies/aid (%/investment cost)</t>
  </si>
  <si>
    <r>
      <rPr>
        <b/>
        <sz val="11"/>
        <color theme="1"/>
        <rFont val="Calibri"/>
        <family val="2"/>
        <scheme val="minor"/>
      </rPr>
      <t>·       Possible energy subsidies/aid for the measures</t>
    </r>
    <r>
      <rPr>
        <sz val="11"/>
        <color theme="1"/>
        <rFont val="Calibri"/>
        <family val="2"/>
        <scheme val="minor"/>
      </rPr>
      <t xml:space="preserve"> (% / investment costs). If there are no subsidies granted for the measure, insert value as ”0”.</t>
    </r>
  </si>
  <si>
    <r>
      <t>For example: 5%(fi</t>
    </r>
    <r>
      <rPr>
        <sz val="12"/>
        <color theme="1"/>
        <rFont val="Calibri"/>
        <family val="2"/>
        <scheme val="minor"/>
      </rPr>
      <t>nance interest rate)* remaining Investment costs + remaining investment costs+ maintenance costs- reduction of energy costs</t>
    </r>
  </si>
  <si>
    <t xml:space="preserve">Discounting means calculating the present value of future cash flow. </t>
  </si>
  <si>
    <t xml:space="preserve">        Value of money decreases in time (inflation)</t>
  </si>
  <si>
    <t xml:space="preserve">        In order for the current and future cash to be comparable, the value of future payments must be transferred to the present, ie discounted.</t>
  </si>
  <si>
    <t>CO2- emissions after measures (kgCO2/year)</t>
  </si>
  <si>
    <t xml:space="preserve">   CO2-emissions before measures (kgCO2/a)</t>
  </si>
  <si>
    <t xml:space="preserve">OBSERVE! EFFECT4buildings project does not take responsibility for the results of the calculation concerning profitability of energy investment based on the results of the calculation tool. The reviewer always has the responsibility for interpreting the results and also to understand the effect of the variables related to the calculation on the results.
</t>
  </si>
  <si>
    <t>EFFECT4buildings financial calculation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</si>
</sst>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 %"/>
    <numFmt numFmtId="166" formatCode="_-* #,##0\ _€_-;\-* #,##0\ _€_-;_-* &quot;-&quot;??\ _€_-;_-@_-"/>
    <numFmt numFmtId="167" formatCode="0.0"/>
    <numFmt numFmtId="168" formatCode="_-* #,##0.000\ _€_-;\-* #,##0.000\ _€_-;_-* &quot;-&quot;??\ _€_-;_-@_-"/>
    <numFmt numFmtId="169" formatCode="0.000"/>
    <numFmt numFmtId="170" formatCode="#,##0\ _€"/>
    <numFmt numFmtId="171" formatCode="#,##0_ ;\-#,##0\ "/>
  </numFmts>
  <fonts count="3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name val="Calibri"/>
      <family val="2"/>
      <scheme val="minor"/>
    </font>
    <font>
      <b/>
      <sz val="14"/>
      <color theme="1"/>
      <name val="Calibri"/>
      <family val="2"/>
      <scheme val="minor"/>
    </font>
    <font>
      <b/>
      <sz val="16"/>
      <color theme="1"/>
      <name val="Calibri"/>
      <family val="2"/>
      <scheme val="minor"/>
    </font>
    <font>
      <b/>
      <sz val="11"/>
      <color rgb="FFFFFF00"/>
      <name val="Calibri"/>
      <family val="2"/>
      <scheme val="minor"/>
    </font>
    <font>
      <sz val="9"/>
      <color indexed="81"/>
      <name val="Tahoma"/>
      <family val="2"/>
    </font>
    <font>
      <b/>
      <sz val="9"/>
      <color indexed="81"/>
      <name val="Tahoma"/>
      <family val="2"/>
    </font>
    <font>
      <sz val="12"/>
      <color theme="1"/>
      <name val="Arial"/>
      <family val="2"/>
    </font>
    <font>
      <sz val="11"/>
      <name val="Calibri"/>
      <family val="2"/>
      <scheme val="minor"/>
    </font>
    <font>
      <b/>
      <sz val="10"/>
      <color theme="1"/>
      <name val="Arial"/>
      <family val="2"/>
    </font>
    <font>
      <sz val="10"/>
      <color theme="1"/>
      <name val="Arial"/>
      <family val="2"/>
    </font>
    <font>
      <b/>
      <sz val="1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4"/>
      <color theme="1"/>
      <name val="Calibri"/>
      <family val="2"/>
      <scheme val="minor"/>
    </font>
    <font>
      <b/>
      <sz val="10"/>
      <color theme="1"/>
      <name val="Calibri"/>
      <family val="2"/>
      <scheme val="minor"/>
    </font>
    <font>
      <b/>
      <sz val="16"/>
      <color rgb="FF000000"/>
      <name val="Calibri"/>
      <family val="2"/>
      <scheme val="minor"/>
    </font>
    <font>
      <sz val="9"/>
      <color theme="1"/>
      <name val="Calibri"/>
      <family val="2"/>
      <scheme val="minor"/>
    </font>
    <font>
      <b/>
      <sz val="14"/>
      <color theme="0"/>
      <name val="Calibri"/>
      <family val="2"/>
      <scheme val="minor"/>
    </font>
    <font>
      <sz val="10"/>
      <name val="Arial"/>
      <family val="2"/>
    </font>
    <font>
      <b/>
      <sz val="11"/>
      <color theme="0"/>
      <name val="Calibri"/>
      <family val="2"/>
      <scheme val="minor"/>
    </font>
    <font>
      <b/>
      <sz val="16"/>
      <name val="Calibri"/>
      <family val="2"/>
      <scheme val="minor"/>
    </font>
    <font>
      <b/>
      <sz val="11"/>
      <color rgb="FFFF0000"/>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color theme="1"/>
      <name val="Arial"/>
      <family val="2"/>
    </font>
    <font>
      <b/>
      <sz val="11"/>
      <name val="Arial"/>
      <family val="2"/>
    </font>
    <font>
      <sz val="9"/>
      <color indexed="81"/>
      <name val="Tahoma"/>
      <charset val="1"/>
    </font>
    <font>
      <b/>
      <sz val="9"/>
      <color indexed="81"/>
      <name val="Tahoma"/>
      <charset val="1"/>
    </font>
    <font>
      <sz val="16"/>
      <color theme="1"/>
      <name val="Calibri"/>
      <family val="2"/>
      <scheme val="minor"/>
    </font>
    <font>
      <sz val="20"/>
      <color theme="1"/>
      <name val="Calibri"/>
      <family val="2"/>
      <scheme val="minor"/>
    </font>
    <font>
      <sz val="22"/>
      <color theme="1"/>
      <name val="Calibri"/>
      <family val="2"/>
      <scheme val="minor"/>
    </font>
  </fonts>
  <fills count="2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F000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23" fillId="0" borderId="0"/>
  </cellStyleXfs>
  <cellXfs count="307">
    <xf numFmtId="0" fontId="0" fillId="0" borderId="0" xfId="0"/>
    <xf numFmtId="0" fontId="0" fillId="0" borderId="0" xfId="0" applyAlignment="1">
      <alignment vertical="center"/>
    </xf>
    <xf numFmtId="0" fontId="2" fillId="0" borderId="0" xfId="0" applyFont="1"/>
    <xf numFmtId="0" fontId="3" fillId="0" borderId="0" xfId="0" applyFont="1"/>
    <xf numFmtId="164" fontId="0" fillId="0" borderId="0" xfId="1" applyFont="1"/>
    <xf numFmtId="164" fontId="0" fillId="0" borderId="0" xfId="0" applyNumberFormat="1"/>
    <xf numFmtId="0" fontId="0" fillId="2" borderId="0" xfId="0" applyFill="1"/>
    <xf numFmtId="164" fontId="0" fillId="2" borderId="0" xfId="1" applyFont="1" applyFill="1"/>
    <xf numFmtId="164" fontId="0" fillId="2" borderId="0" xfId="0" applyNumberFormat="1" applyFill="1"/>
    <xf numFmtId="164" fontId="0" fillId="0" borderId="0" xfId="0" applyNumberFormat="1" applyFill="1"/>
    <xf numFmtId="0" fontId="2" fillId="0" borderId="0" xfId="0" applyFont="1" applyFill="1"/>
    <xf numFmtId="0" fontId="0" fillId="0" borderId="0" xfId="0" applyFill="1"/>
    <xf numFmtId="164" fontId="0" fillId="0" borderId="0" xfId="1" applyFont="1" applyFill="1"/>
    <xf numFmtId="164" fontId="2" fillId="0" borderId="0" xfId="1" applyFont="1"/>
    <xf numFmtId="9" fontId="0" fillId="2" borderId="0" xfId="2" applyFont="1" applyFill="1"/>
    <xf numFmtId="0" fontId="0" fillId="3" borderId="0" xfId="0" applyFill="1"/>
    <xf numFmtId="164" fontId="0" fillId="3" borderId="0" xfId="1" applyFont="1" applyFill="1"/>
    <xf numFmtId="164" fontId="2" fillId="0" borderId="0" xfId="1" applyFont="1" applyFill="1"/>
    <xf numFmtId="164" fontId="0" fillId="3" borderId="0" xfId="0" applyNumberFormat="1" applyFill="1"/>
    <xf numFmtId="0" fontId="2" fillId="3" borderId="0" xfId="0" applyFont="1" applyFill="1"/>
    <xf numFmtId="9" fontId="0" fillId="0" borderId="0" xfId="2" applyFont="1"/>
    <xf numFmtId="0" fontId="5" fillId="2" borderId="0" xfId="0" applyFont="1" applyFill="1"/>
    <xf numFmtId="9" fontId="0" fillId="3" borderId="0" xfId="0" applyNumberFormat="1" applyFill="1"/>
    <xf numFmtId="0" fontId="0" fillId="0" borderId="0" xfId="0" applyFont="1"/>
    <xf numFmtId="166" fontId="0" fillId="0" borderId="0" xfId="1" applyNumberFormat="1" applyFont="1"/>
    <xf numFmtId="0" fontId="0" fillId="4" borderId="0" xfId="0" applyFill="1"/>
    <xf numFmtId="9" fontId="0" fillId="0" borderId="0" xfId="0" applyNumberFormat="1"/>
    <xf numFmtId="1" fontId="0" fillId="0" borderId="0" xfId="0" applyNumberFormat="1"/>
    <xf numFmtId="0" fontId="10" fillId="0" borderId="0" xfId="0" applyFont="1"/>
    <xf numFmtId="164" fontId="0" fillId="0" borderId="0" xfId="2" applyNumberFormat="1" applyFont="1"/>
    <xf numFmtId="166" fontId="0" fillId="0" borderId="0" xfId="0" applyNumberFormat="1"/>
    <xf numFmtId="10" fontId="0" fillId="0" borderId="0" xfId="0" applyNumberFormat="1"/>
    <xf numFmtId="0" fontId="10" fillId="5" borderId="3" xfId="0" applyFont="1" applyFill="1" applyBorder="1"/>
    <xf numFmtId="0" fontId="10" fillId="0" borderId="3" xfId="0" applyFont="1" applyBorder="1"/>
    <xf numFmtId="0" fontId="10" fillId="5" borderId="4" xfId="0" applyFont="1" applyFill="1" applyBorder="1"/>
    <xf numFmtId="14" fontId="0" fillId="0" borderId="0" xfId="0" applyNumberFormat="1"/>
    <xf numFmtId="16" fontId="0" fillId="0" borderId="0" xfId="0" applyNumberFormat="1"/>
    <xf numFmtId="1" fontId="11" fillId="0" borderId="0" xfId="0" applyNumberFormat="1" applyFont="1"/>
    <xf numFmtId="17" fontId="0" fillId="0" borderId="0" xfId="0" applyNumberFormat="1"/>
    <xf numFmtId="0" fontId="0" fillId="0" borderId="0" xfId="0"/>
    <xf numFmtId="165" fontId="2" fillId="2" borderId="13" xfId="2" applyNumberFormat="1" applyFont="1" applyFill="1" applyBorder="1" applyProtection="1">
      <protection locked="0"/>
    </xf>
    <xf numFmtId="166" fontId="11" fillId="0" borderId="0" xfId="1" applyNumberFormat="1" applyFont="1"/>
    <xf numFmtId="0" fontId="0" fillId="9" borderId="0" xfId="0" applyFill="1"/>
    <xf numFmtId="0" fontId="2" fillId="0" borderId="9" xfId="0" applyFont="1" applyBorder="1"/>
    <xf numFmtId="164" fontId="2" fillId="2" borderId="13" xfId="1" applyFont="1" applyFill="1" applyBorder="1" applyProtection="1">
      <protection locked="0"/>
    </xf>
    <xf numFmtId="0" fontId="2" fillId="2" borderId="13" xfId="2" applyNumberFormat="1" applyFont="1" applyFill="1" applyBorder="1" applyProtection="1">
      <protection locked="0"/>
    </xf>
    <xf numFmtId="164" fontId="2" fillId="2" borderId="2" xfId="1" applyFont="1" applyFill="1" applyBorder="1" applyProtection="1">
      <protection locked="0"/>
    </xf>
    <xf numFmtId="0" fontId="2" fillId="2" borderId="2" xfId="2" applyNumberFormat="1" applyFont="1" applyFill="1" applyBorder="1" applyProtection="1">
      <protection locked="0"/>
    </xf>
    <xf numFmtId="168" fontId="2" fillId="2" borderId="2" xfId="1" applyNumberFormat="1" applyFont="1" applyFill="1" applyBorder="1" applyProtection="1">
      <protection locked="0"/>
    </xf>
    <xf numFmtId="169" fontId="2" fillId="2" borderId="2" xfId="2" applyNumberFormat="1" applyFont="1" applyFill="1" applyBorder="1" applyProtection="1">
      <protection locked="0"/>
    </xf>
    <xf numFmtId="168" fontId="2" fillId="2" borderId="13" xfId="1" applyNumberFormat="1" applyFont="1" applyFill="1" applyBorder="1" applyProtection="1">
      <protection locked="0"/>
    </xf>
    <xf numFmtId="10" fontId="2" fillId="2" borderId="2" xfId="2" applyNumberFormat="1" applyFont="1" applyFill="1" applyBorder="1" applyProtection="1">
      <protection locked="0"/>
    </xf>
    <xf numFmtId="10" fontId="2" fillId="2" borderId="13" xfId="2" applyNumberFormat="1" applyFont="1" applyFill="1" applyBorder="1" applyProtection="1">
      <protection locked="0"/>
    </xf>
    <xf numFmtId="169" fontId="2" fillId="2" borderId="13" xfId="2" applyNumberFormat="1" applyFont="1" applyFill="1" applyBorder="1" applyProtection="1">
      <protection locked="0"/>
    </xf>
    <xf numFmtId="169" fontId="2" fillId="2" borderId="13" xfId="0" applyNumberFormat="1" applyFont="1" applyFill="1" applyBorder="1" applyProtection="1">
      <protection locked="0"/>
    </xf>
    <xf numFmtId="170" fontId="2" fillId="2" borderId="13" xfId="1" applyNumberFormat="1" applyFont="1" applyFill="1" applyBorder="1" applyProtection="1">
      <protection locked="0"/>
    </xf>
    <xf numFmtId="3" fontId="2" fillId="2" borderId="13" xfId="1" applyNumberFormat="1" applyFont="1" applyFill="1" applyBorder="1" applyProtection="1">
      <protection locked="0"/>
    </xf>
    <xf numFmtId="3" fontId="2" fillId="2" borderId="2" xfId="1" applyNumberFormat="1" applyFont="1" applyFill="1" applyBorder="1" applyProtection="1">
      <protection locked="0"/>
    </xf>
    <xf numFmtId="3" fontId="2" fillId="2" borderId="13" xfId="2" applyNumberFormat="1" applyFont="1" applyFill="1" applyBorder="1" applyProtection="1">
      <protection locked="0"/>
    </xf>
    <xf numFmtId="3" fontId="2" fillId="2" borderId="2" xfId="2" applyNumberFormat="1" applyFont="1" applyFill="1" applyBorder="1" applyProtection="1">
      <protection locked="0"/>
    </xf>
    <xf numFmtId="0" fontId="5" fillId="2" borderId="13" xfId="0" applyFont="1" applyFill="1" applyBorder="1" applyProtection="1">
      <protection locked="0"/>
    </xf>
    <xf numFmtId="0" fontId="2" fillId="7" borderId="7" xfId="0" applyFont="1" applyFill="1" applyBorder="1"/>
    <xf numFmtId="0" fontId="2" fillId="7" borderId="9" xfId="0" applyFont="1" applyFill="1" applyBorder="1"/>
    <xf numFmtId="0" fontId="2" fillId="7" borderId="12" xfId="0" applyFont="1" applyFill="1" applyBorder="1"/>
    <xf numFmtId="0" fontId="2" fillId="2" borderId="13" xfId="0" applyFont="1" applyFill="1" applyBorder="1" applyProtection="1">
      <protection locked="0"/>
    </xf>
    <xf numFmtId="0" fontId="2" fillId="2" borderId="2" xfId="0" applyFont="1" applyFill="1" applyBorder="1" applyProtection="1">
      <protection locked="0"/>
    </xf>
    <xf numFmtId="9" fontId="2" fillId="2" borderId="13" xfId="2" applyFont="1" applyFill="1" applyBorder="1" applyProtection="1">
      <protection locked="0"/>
    </xf>
    <xf numFmtId="0" fontId="0" fillId="11" borderId="7" xfId="0" applyFill="1" applyBorder="1"/>
    <xf numFmtId="0" fontId="0" fillId="11" borderId="9" xfId="0" applyFill="1" applyBorder="1"/>
    <xf numFmtId="0" fontId="0" fillId="11" borderId="12" xfId="0" applyFill="1" applyBorder="1"/>
    <xf numFmtId="0" fontId="0" fillId="15" borderId="7" xfId="0" applyFill="1" applyBorder="1"/>
    <xf numFmtId="0" fontId="0" fillId="15" borderId="9" xfId="0" applyFill="1" applyBorder="1"/>
    <xf numFmtId="0" fontId="0" fillId="15" borderId="12" xfId="0" applyFill="1" applyBorder="1"/>
    <xf numFmtId="0" fontId="0" fillId="12" borderId="7" xfId="0" applyFill="1" applyBorder="1"/>
    <xf numFmtId="0" fontId="0" fillId="12" borderId="9" xfId="0" applyFill="1" applyBorder="1"/>
    <xf numFmtId="0" fontId="2" fillId="12" borderId="0" xfId="0" applyFont="1" applyFill="1" applyBorder="1"/>
    <xf numFmtId="0" fontId="0" fillId="7" borderId="2" xfId="0" applyFill="1" applyBorder="1"/>
    <xf numFmtId="0" fontId="0" fillId="15" borderId="0" xfId="0" applyFont="1" applyFill="1" applyBorder="1"/>
    <xf numFmtId="0" fontId="0" fillId="15" borderId="9" xfId="0" applyFont="1" applyFill="1" applyBorder="1"/>
    <xf numFmtId="0" fontId="0" fillId="15" borderId="8" xfId="0" applyFont="1" applyFill="1" applyBorder="1"/>
    <xf numFmtId="0" fontId="0" fillId="15" borderId="11" xfId="0" applyFont="1" applyFill="1" applyBorder="1"/>
    <xf numFmtId="0" fontId="5" fillId="7" borderId="1" xfId="0" applyFont="1" applyFill="1" applyBorder="1" applyAlignment="1">
      <alignment vertical="center"/>
    </xf>
    <xf numFmtId="0" fontId="0" fillId="7" borderId="14" xfId="0" applyFont="1" applyFill="1" applyBorder="1"/>
    <xf numFmtId="0" fontId="5" fillId="12" borderId="5" xfId="0" applyFont="1" applyFill="1" applyBorder="1" applyAlignment="1">
      <alignment vertical="center"/>
    </xf>
    <xf numFmtId="0" fontId="0" fillId="12" borderId="6" xfId="0" applyFont="1" applyFill="1" applyBorder="1"/>
    <xf numFmtId="0" fontId="19" fillId="12" borderId="8" xfId="0" applyFont="1" applyFill="1" applyBorder="1" applyAlignment="1">
      <alignment vertical="center"/>
    </xf>
    <xf numFmtId="0" fontId="0" fillId="12" borderId="0" xfId="0" applyFont="1" applyFill="1" applyBorder="1"/>
    <xf numFmtId="0" fontId="0" fillId="12" borderId="8" xfId="0" applyFont="1" applyFill="1" applyBorder="1"/>
    <xf numFmtId="0" fontId="0" fillId="12" borderId="8" xfId="0" applyFont="1" applyFill="1" applyBorder="1" applyAlignment="1">
      <alignment horizontal="left" vertical="center" indent="4"/>
    </xf>
    <xf numFmtId="0" fontId="6" fillId="11" borderId="5" xfId="0" applyFont="1" applyFill="1" applyBorder="1" applyAlignment="1">
      <alignment vertical="center"/>
    </xf>
    <xf numFmtId="0" fontId="0" fillId="11" borderId="6" xfId="0" applyFont="1" applyFill="1" applyBorder="1"/>
    <xf numFmtId="0" fontId="6" fillId="11" borderId="8" xfId="0" applyFont="1" applyFill="1" applyBorder="1" applyAlignment="1">
      <alignment vertical="center"/>
    </xf>
    <xf numFmtId="0" fontId="0" fillId="11" borderId="0" xfId="0" applyFont="1" applyFill="1" applyBorder="1"/>
    <xf numFmtId="0" fontId="2" fillId="11" borderId="8" xfId="0" applyFont="1" applyFill="1" applyBorder="1" applyAlignment="1">
      <alignment horizontal="left" vertical="center" indent="4"/>
    </xf>
    <xf numFmtId="0" fontId="0" fillId="11" borderId="8" xfId="0" applyFont="1" applyFill="1" applyBorder="1" applyAlignment="1">
      <alignment horizontal="left" vertical="center" indent="4"/>
    </xf>
    <xf numFmtId="0" fontId="0" fillId="11" borderId="11" xfId="0" applyFont="1" applyFill="1" applyBorder="1"/>
    <xf numFmtId="0" fontId="6" fillId="15" borderId="5" xfId="0" applyFont="1" applyFill="1" applyBorder="1" applyAlignment="1">
      <alignment vertical="center"/>
    </xf>
    <xf numFmtId="0" fontId="0" fillId="15" borderId="6" xfId="0" applyFont="1" applyFill="1" applyBorder="1"/>
    <xf numFmtId="0" fontId="20" fillId="15" borderId="8" xfId="0" applyFont="1" applyFill="1" applyBorder="1" applyAlignment="1">
      <alignment vertical="center"/>
    </xf>
    <xf numFmtId="0" fontId="2" fillId="15" borderId="8" xfId="0" applyFont="1" applyFill="1" applyBorder="1" applyAlignment="1">
      <alignment vertical="center"/>
    </xf>
    <xf numFmtId="0" fontId="0" fillId="15" borderId="10" xfId="0" applyFont="1" applyFill="1" applyBorder="1"/>
    <xf numFmtId="0" fontId="0" fillId="11" borderId="10" xfId="0" applyFont="1" applyFill="1" applyBorder="1" applyAlignment="1">
      <alignment horizontal="left" vertical="center" indent="4"/>
    </xf>
    <xf numFmtId="0" fontId="2" fillId="12" borderId="8" xfId="0" applyFont="1" applyFill="1" applyBorder="1" applyAlignment="1">
      <alignment horizontal="left" vertical="center" indent="4"/>
    </xf>
    <xf numFmtId="0" fontId="0" fillId="12" borderId="8" xfId="0" applyFont="1" applyFill="1" applyBorder="1" applyAlignment="1">
      <alignment horizontal="left" vertical="center" indent="8"/>
    </xf>
    <xf numFmtId="0" fontId="0" fillId="12" borderId="0" xfId="0" applyFont="1" applyFill="1" applyBorder="1" applyAlignment="1">
      <alignment horizontal="left" vertical="center" indent="4"/>
    </xf>
    <xf numFmtId="0" fontId="0" fillId="12" borderId="8" xfId="0" applyFont="1" applyFill="1" applyBorder="1" applyAlignment="1">
      <alignment vertical="center"/>
    </xf>
    <xf numFmtId="0" fontId="21" fillId="12" borderId="0" xfId="0" applyFont="1" applyFill="1" applyBorder="1"/>
    <xf numFmtId="0" fontId="10" fillId="5" borderId="0" xfId="0" applyFont="1" applyFill="1" applyBorder="1"/>
    <xf numFmtId="0" fontId="0" fillId="0" borderId="0" xfId="0" applyProtection="1"/>
    <xf numFmtId="0" fontId="6" fillId="2" borderId="13" xfId="0" applyFont="1" applyFill="1" applyBorder="1" applyProtection="1"/>
    <xf numFmtId="0" fontId="6" fillId="0" borderId="1" xfId="0" applyFont="1" applyFill="1" applyBorder="1" applyProtection="1"/>
    <xf numFmtId="0" fontId="5" fillId="0" borderId="1" xfId="0" applyFont="1" applyBorder="1" applyProtection="1"/>
    <xf numFmtId="0" fontId="15" fillId="11" borderId="5" xfId="0" applyFont="1" applyFill="1" applyBorder="1" applyProtection="1"/>
    <xf numFmtId="0" fontId="2" fillId="11" borderId="13" xfId="0" applyFont="1" applyFill="1" applyBorder="1" applyAlignment="1" applyProtection="1">
      <alignment horizontal="left" indent="2"/>
    </xf>
    <xf numFmtId="0" fontId="0" fillId="0" borderId="8" xfId="0" applyBorder="1" applyProtection="1"/>
    <xf numFmtId="0" fontId="2" fillId="0" borderId="8" xfId="0" applyFont="1" applyFill="1" applyBorder="1" applyProtection="1"/>
    <xf numFmtId="0" fontId="0" fillId="11" borderId="10" xfId="0" applyFill="1" applyBorder="1" applyProtection="1"/>
    <xf numFmtId="0" fontId="15" fillId="13" borderId="5" xfId="0" applyFont="1" applyFill="1" applyBorder="1" applyProtection="1"/>
    <xf numFmtId="0" fontId="2" fillId="13" borderId="13" xfId="0" applyFont="1" applyFill="1" applyBorder="1" applyAlignment="1" applyProtection="1">
      <alignment horizontal="left" indent="2"/>
    </xf>
    <xf numFmtId="0" fontId="0" fillId="13" borderId="10" xfId="0" applyFill="1" applyBorder="1" applyProtection="1"/>
    <xf numFmtId="0" fontId="15" fillId="12" borderId="5" xfId="0" applyFont="1" applyFill="1" applyBorder="1" applyProtection="1"/>
    <xf numFmtId="0" fontId="2" fillId="12" borderId="13" xfId="0" applyFont="1" applyFill="1" applyBorder="1" applyAlignment="1" applyProtection="1">
      <alignment horizontal="left" indent="2"/>
    </xf>
    <xf numFmtId="0" fontId="0" fillId="12" borderId="10" xfId="0" applyFill="1" applyBorder="1" applyProtection="1"/>
    <xf numFmtId="0" fontId="15" fillId="16" borderId="1" xfId="0" applyFont="1" applyFill="1" applyBorder="1" applyProtection="1"/>
    <xf numFmtId="0" fontId="2" fillId="15" borderId="10" xfId="0" applyFont="1" applyFill="1" applyBorder="1" applyProtection="1"/>
    <xf numFmtId="0" fontId="2" fillId="0" borderId="1" xfId="0" applyFont="1" applyFill="1" applyBorder="1" applyProtection="1"/>
    <xf numFmtId="0" fontId="14" fillId="0" borderId="1" xfId="0" applyFont="1" applyFill="1" applyBorder="1" applyProtection="1"/>
    <xf numFmtId="0" fontId="2" fillId="0" borderId="1" xfId="0" applyFont="1" applyFill="1" applyBorder="1" applyAlignment="1" applyProtection="1">
      <alignment wrapText="1"/>
    </xf>
    <xf numFmtId="0" fontId="2" fillId="6" borderId="13" xfId="0" applyFont="1" applyFill="1" applyBorder="1" applyProtection="1"/>
    <xf numFmtId="0" fontId="2" fillId="8" borderId="13" xfId="0" applyFont="1" applyFill="1" applyBorder="1" applyProtection="1"/>
    <xf numFmtId="0" fontId="2" fillId="0" borderId="13" xfId="0" applyFont="1" applyBorder="1" applyProtection="1"/>
    <xf numFmtId="0" fontId="2" fillId="11" borderId="11" xfId="0" applyFont="1" applyFill="1" applyBorder="1" applyProtection="1"/>
    <xf numFmtId="0" fontId="2" fillId="13" borderId="11" xfId="0" applyFont="1" applyFill="1" applyBorder="1" applyProtection="1"/>
    <xf numFmtId="0" fontId="2" fillId="12" borderId="11" xfId="0" applyFont="1" applyFill="1" applyBorder="1" applyProtection="1"/>
    <xf numFmtId="0" fontId="2" fillId="15" borderId="11" xfId="0" applyFont="1" applyFill="1" applyBorder="1" applyProtection="1"/>
    <xf numFmtId="3" fontId="2" fillId="0" borderId="13" xfId="1" applyNumberFormat="1" applyFont="1" applyBorder="1" applyProtection="1"/>
    <xf numFmtId="3" fontId="2" fillId="0" borderId="13" xfId="0" applyNumberFormat="1" applyFont="1" applyBorder="1" applyProtection="1"/>
    <xf numFmtId="3" fontId="2" fillId="0" borderId="13" xfId="2" applyNumberFormat="1" applyFont="1" applyBorder="1" applyProtection="1"/>
    <xf numFmtId="4" fontId="2" fillId="0" borderId="13" xfId="1" applyNumberFormat="1" applyFont="1" applyBorder="1" applyProtection="1"/>
    <xf numFmtId="164" fontId="2" fillId="0" borderId="13" xfId="1" applyFont="1" applyBorder="1" applyProtection="1"/>
    <xf numFmtId="10" fontId="2" fillId="0" borderId="13" xfId="1" applyNumberFormat="1" applyFont="1" applyBorder="1" applyProtection="1"/>
    <xf numFmtId="0" fontId="2" fillId="11" borderId="12" xfId="0" applyFont="1" applyFill="1" applyBorder="1" applyProtection="1"/>
    <xf numFmtId="0" fontId="2" fillId="13" borderId="12" xfId="0" applyFont="1" applyFill="1" applyBorder="1" applyProtection="1"/>
    <xf numFmtId="0" fontId="2" fillId="12" borderId="12" xfId="0" applyFont="1" applyFill="1" applyBorder="1" applyProtection="1"/>
    <xf numFmtId="0" fontId="2" fillId="15" borderId="12" xfId="0" applyFont="1" applyFill="1" applyBorder="1" applyProtection="1"/>
    <xf numFmtId="164" fontId="0" fillId="18" borderId="0" xfId="1" applyFont="1" applyFill="1" applyProtection="1"/>
    <xf numFmtId="0" fontId="2" fillId="18" borderId="0" xfId="0" applyFont="1" applyFill="1" applyBorder="1" applyProtection="1"/>
    <xf numFmtId="0" fontId="2" fillId="16" borderId="1" xfId="0" applyFont="1" applyFill="1" applyBorder="1" applyAlignment="1" applyProtection="1">
      <alignment horizontal="left" indent="2"/>
    </xf>
    <xf numFmtId="0" fontId="2" fillId="16" borderId="10" xfId="0" applyFont="1" applyFill="1" applyBorder="1" applyAlignment="1" applyProtection="1">
      <alignment horizontal="left" indent="2"/>
    </xf>
    <xf numFmtId="0" fontId="0" fillId="18" borderId="0" xfId="0" applyFill="1" applyProtection="1"/>
    <xf numFmtId="0" fontId="2" fillId="12" borderId="8" xfId="0" applyFont="1" applyFill="1" applyBorder="1" applyAlignment="1">
      <alignment horizontal="left" vertical="center"/>
    </xf>
    <xf numFmtId="0" fontId="2" fillId="12" borderId="8" xfId="0" applyFont="1" applyFill="1" applyBorder="1"/>
    <xf numFmtId="0" fontId="0" fillId="12" borderId="0" xfId="0" applyFill="1"/>
    <xf numFmtId="166" fontId="0" fillId="18" borderId="0" xfId="1" applyNumberFormat="1" applyFont="1" applyFill="1"/>
    <xf numFmtId="0" fontId="22" fillId="20" borderId="1" xfId="0" applyFont="1" applyFill="1" applyBorder="1" applyProtection="1"/>
    <xf numFmtId="0" fontId="0" fillId="18" borderId="0" xfId="0" applyFill="1"/>
    <xf numFmtId="0" fontId="10" fillId="18" borderId="0" xfId="0" applyFont="1" applyFill="1" applyProtection="1"/>
    <xf numFmtId="0" fontId="2" fillId="18" borderId="0" xfId="0" applyFont="1" applyFill="1"/>
    <xf numFmtId="164" fontId="0" fillId="18" borderId="0" xfId="1" applyFont="1" applyFill="1"/>
    <xf numFmtId="0" fontId="2" fillId="18" borderId="0" xfId="0" applyFont="1" applyFill="1" applyProtection="1"/>
    <xf numFmtId="166" fontId="2" fillId="18" borderId="0" xfId="1" applyNumberFormat="1" applyFont="1" applyFill="1"/>
    <xf numFmtId="0" fontId="0" fillId="18" borderId="0" xfId="1" applyNumberFormat="1" applyFont="1" applyFill="1" applyProtection="1"/>
    <xf numFmtId="164" fontId="0" fillId="18" borderId="0" xfId="0" applyNumberFormat="1" applyFill="1"/>
    <xf numFmtId="0" fontId="0" fillId="18" borderId="0" xfId="1" applyNumberFormat="1" applyFont="1" applyFill="1"/>
    <xf numFmtId="9" fontId="0" fillId="18" borderId="0" xfId="1" applyNumberFormat="1" applyFont="1" applyFill="1"/>
    <xf numFmtId="9" fontId="0" fillId="18" borderId="0" xfId="0" applyNumberFormat="1" applyFill="1"/>
    <xf numFmtId="165" fontId="2" fillId="18" borderId="0" xfId="2" applyNumberFormat="1" applyFont="1" applyFill="1" applyProtection="1"/>
    <xf numFmtId="0" fontId="0" fillId="18" borderId="0" xfId="0" applyNumberFormat="1" applyFill="1"/>
    <xf numFmtId="165" fontId="0" fillId="18" borderId="0" xfId="2" applyNumberFormat="1" applyFont="1" applyFill="1" applyProtection="1"/>
    <xf numFmtId="9" fontId="0" fillId="18" borderId="0" xfId="2" applyFont="1" applyFill="1" applyProtection="1"/>
    <xf numFmtId="166" fontId="0" fillId="18" borderId="0" xfId="0" applyNumberFormat="1" applyFill="1"/>
    <xf numFmtId="166" fontId="0" fillId="18" borderId="0" xfId="1" applyNumberFormat="1" applyFont="1" applyFill="1" applyProtection="1"/>
    <xf numFmtId="0" fontId="13" fillId="18" borderId="0" xfId="0" applyFont="1" applyFill="1" applyBorder="1" applyProtection="1"/>
    <xf numFmtId="164" fontId="2" fillId="18" borderId="0" xfId="1" applyFont="1" applyFill="1" applyProtection="1"/>
    <xf numFmtId="0" fontId="0" fillId="18" borderId="8" xfId="0" applyFill="1" applyBorder="1" applyProtection="1"/>
    <xf numFmtId="0" fontId="2" fillId="18" borderId="9" xfId="0" applyFont="1" applyFill="1" applyBorder="1" applyProtection="1"/>
    <xf numFmtId="0" fontId="2" fillId="18" borderId="8" xfId="0" applyFont="1" applyFill="1" applyBorder="1" applyProtection="1"/>
    <xf numFmtId="0" fontId="0" fillId="18" borderId="0" xfId="0" applyFill="1" applyBorder="1" applyProtection="1"/>
    <xf numFmtId="0" fontId="2" fillId="18" borderId="11" xfId="0" applyFont="1" applyFill="1" applyBorder="1" applyProtection="1"/>
    <xf numFmtId="0" fontId="2" fillId="18" borderId="12" xfId="0" applyFont="1" applyFill="1" applyBorder="1" applyProtection="1"/>
    <xf numFmtId="0" fontId="2" fillId="18" borderId="10" xfId="0" applyFont="1" applyFill="1" applyBorder="1" applyProtection="1"/>
    <xf numFmtId="3" fontId="2" fillId="18" borderId="0" xfId="2" applyNumberFormat="1" applyFont="1" applyFill="1" applyBorder="1" applyProtection="1"/>
    <xf numFmtId="3" fontId="2" fillId="18" borderId="0" xfId="1" applyNumberFormat="1" applyFont="1" applyFill="1" applyBorder="1" applyProtection="1"/>
    <xf numFmtId="4" fontId="2" fillId="18" borderId="0" xfId="1" applyNumberFormat="1" applyFont="1" applyFill="1" applyBorder="1" applyProtection="1"/>
    <xf numFmtId="164" fontId="2" fillId="18" borderId="0" xfId="1" applyFont="1" applyFill="1" applyBorder="1" applyProtection="1"/>
    <xf numFmtId="10" fontId="2" fillId="18" borderId="0" xfId="1" applyNumberFormat="1" applyFont="1" applyFill="1" applyBorder="1" applyProtection="1"/>
    <xf numFmtId="1" fontId="2" fillId="18" borderId="0" xfId="1" applyNumberFormat="1" applyFont="1" applyFill="1" applyBorder="1" applyProtection="1"/>
    <xf numFmtId="167" fontId="0" fillId="18" borderId="0" xfId="1" applyNumberFormat="1" applyFont="1" applyFill="1" applyProtection="1"/>
    <xf numFmtId="0" fontId="7" fillId="18" borderId="0" xfId="0" applyFont="1" applyFill="1" applyProtection="1"/>
    <xf numFmtId="0" fontId="0" fillId="18" borderId="9" xfId="0" applyFill="1" applyBorder="1" applyProtection="1"/>
    <xf numFmtId="0" fontId="5" fillId="18" borderId="5" xfId="0" applyFont="1" applyFill="1" applyBorder="1" applyProtection="1"/>
    <xf numFmtId="164" fontId="2" fillId="18" borderId="9" xfId="1" applyFont="1" applyFill="1" applyBorder="1" applyProtection="1"/>
    <xf numFmtId="0" fontId="0" fillId="0" borderId="0" xfId="0" applyBorder="1" applyProtection="1"/>
    <xf numFmtId="0" fontId="0" fillId="0" borderId="9" xfId="0" applyBorder="1" applyProtection="1"/>
    <xf numFmtId="165" fontId="2" fillId="18" borderId="9" xfId="2" applyNumberFormat="1" applyFont="1" applyFill="1" applyBorder="1" applyProtection="1"/>
    <xf numFmtId="0" fontId="2" fillId="18" borderId="8" xfId="0" applyFont="1" applyFill="1" applyBorder="1" applyAlignment="1" applyProtection="1">
      <alignment wrapText="1"/>
    </xf>
    <xf numFmtId="0" fontId="24" fillId="18" borderId="8" xfId="0" applyFont="1" applyFill="1" applyBorder="1" applyProtection="1"/>
    <xf numFmtId="166" fontId="0" fillId="18" borderId="0" xfId="1" applyNumberFormat="1" applyFont="1" applyFill="1" applyBorder="1" applyProtection="1"/>
    <xf numFmtId="0" fontId="0" fillId="18" borderId="9" xfId="1" applyNumberFormat="1" applyFont="1" applyFill="1" applyBorder="1" applyProtection="1"/>
    <xf numFmtId="3" fontId="2" fillId="18" borderId="9" xfId="0" applyNumberFormat="1" applyFont="1" applyFill="1" applyBorder="1" applyProtection="1"/>
    <xf numFmtId="3" fontId="2" fillId="18" borderId="9" xfId="1" applyNumberFormat="1" applyFont="1" applyFill="1" applyBorder="1" applyProtection="1"/>
    <xf numFmtId="0" fontId="0" fillId="18" borderId="0" xfId="0" applyFill="1" applyBorder="1"/>
    <xf numFmtId="0" fontId="22" fillId="18" borderId="8" xfId="0" applyFont="1" applyFill="1" applyBorder="1" applyProtection="1"/>
    <xf numFmtId="10" fontId="2" fillId="18" borderId="9" xfId="1" applyNumberFormat="1" applyFont="1" applyFill="1" applyBorder="1" applyProtection="1"/>
    <xf numFmtId="1" fontId="2" fillId="18" borderId="9" xfId="1" applyNumberFormat="1" applyFont="1" applyFill="1" applyBorder="1" applyProtection="1"/>
    <xf numFmtId="1" fontId="2" fillId="18" borderId="0" xfId="0" applyNumberFormat="1" applyFont="1" applyFill="1" applyBorder="1" applyProtection="1"/>
    <xf numFmtId="1" fontId="2" fillId="18" borderId="9" xfId="0" applyNumberFormat="1" applyFont="1" applyFill="1" applyBorder="1" applyProtection="1"/>
    <xf numFmtId="1" fontId="2" fillId="0" borderId="9" xfId="0" applyNumberFormat="1" applyFont="1" applyBorder="1" applyProtection="1"/>
    <xf numFmtId="0" fontId="5" fillId="10" borderId="13" xfId="0" applyFont="1" applyFill="1" applyBorder="1" applyProtection="1"/>
    <xf numFmtId="2" fontId="2" fillId="2" borderId="13" xfId="1" applyNumberFormat="1" applyFont="1" applyFill="1" applyBorder="1" applyProtection="1">
      <protection locked="0"/>
    </xf>
    <xf numFmtId="0" fontId="0" fillId="18" borderId="0" xfId="0" applyFont="1" applyFill="1" applyBorder="1"/>
    <xf numFmtId="0" fontId="0" fillId="18" borderId="0" xfId="0" applyFont="1" applyFill="1"/>
    <xf numFmtId="0" fontId="19" fillId="18" borderId="0" xfId="0" applyFont="1" applyFill="1" applyAlignment="1">
      <alignment vertical="center"/>
    </xf>
    <xf numFmtId="0" fontId="0" fillId="18" borderId="11" xfId="0" applyFont="1" applyFill="1" applyBorder="1"/>
    <xf numFmtId="0" fontId="0" fillId="18" borderId="1" xfId="0" applyFill="1" applyBorder="1" applyProtection="1"/>
    <xf numFmtId="0" fontId="0" fillId="18" borderId="2" xfId="0" applyFill="1" applyBorder="1" applyProtection="1"/>
    <xf numFmtId="0" fontId="5" fillId="18" borderId="0" xfId="0" applyFont="1" applyFill="1"/>
    <xf numFmtId="3" fontId="2" fillId="0" borderId="0" xfId="1" applyNumberFormat="1" applyFont="1" applyBorder="1" applyProtection="1"/>
    <xf numFmtId="3" fontId="2" fillId="0" borderId="9" xfId="1" applyNumberFormat="1" applyFont="1" applyBorder="1" applyProtection="1"/>
    <xf numFmtId="0" fontId="26" fillId="0" borderId="8" xfId="0" applyFont="1" applyFill="1" applyBorder="1" applyProtection="1"/>
    <xf numFmtId="0" fontId="12" fillId="18" borderId="0" xfId="0" applyFont="1" applyFill="1" applyBorder="1" applyProtection="1">
      <protection locked="0"/>
    </xf>
    <xf numFmtId="0" fontId="27" fillId="11" borderId="8" xfId="0" applyFont="1" applyFill="1" applyBorder="1" applyAlignment="1">
      <alignment horizontal="left" vertical="center" indent="4"/>
    </xf>
    <xf numFmtId="0" fontId="27" fillId="11" borderId="0" xfId="0" applyFont="1" applyFill="1" applyBorder="1" applyAlignment="1">
      <alignment horizontal="left" vertical="center" indent="4"/>
    </xf>
    <xf numFmtId="0" fontId="0" fillId="11" borderId="0" xfId="0" applyFill="1"/>
    <xf numFmtId="0" fontId="2" fillId="11" borderId="0" xfId="0" applyFont="1" applyFill="1" applyBorder="1" applyAlignment="1">
      <alignment horizontal="left" vertical="center"/>
    </xf>
    <xf numFmtId="0" fontId="6" fillId="18" borderId="0" xfId="0" applyFont="1" applyFill="1" applyAlignment="1">
      <alignment vertical="center"/>
    </xf>
    <xf numFmtId="0" fontId="0" fillId="12" borderId="10" xfId="0" applyFont="1" applyFill="1" applyBorder="1" applyAlignment="1">
      <alignment horizontal="left" vertical="center" indent="4"/>
    </xf>
    <xf numFmtId="0" fontId="0" fillId="12" borderId="11" xfId="0" applyFont="1" applyFill="1" applyBorder="1" applyAlignment="1">
      <alignment horizontal="left" vertical="center" indent="4"/>
    </xf>
    <xf numFmtId="0" fontId="0" fillId="12" borderId="11" xfId="0" applyFont="1" applyFill="1" applyBorder="1"/>
    <xf numFmtId="0" fontId="0" fillId="12" borderId="12" xfId="0" applyFill="1" applyBorder="1"/>
    <xf numFmtId="0" fontId="29" fillId="7" borderId="13" xfId="0" applyFont="1" applyFill="1" applyBorder="1" applyProtection="1">
      <protection locked="0"/>
    </xf>
    <xf numFmtId="0" fontId="30" fillId="7" borderId="13" xfId="0" applyFont="1" applyFill="1" applyBorder="1" applyProtection="1">
      <protection locked="0"/>
    </xf>
    <xf numFmtId="0" fontId="29" fillId="7" borderId="13" xfId="0" applyFont="1" applyFill="1" applyBorder="1" applyAlignment="1" applyProtection="1">
      <alignment wrapText="1"/>
      <protection locked="0"/>
    </xf>
    <xf numFmtId="0" fontId="4" fillId="10" borderId="13" xfId="0" applyFont="1" applyFill="1" applyBorder="1" applyProtection="1"/>
    <xf numFmtId="0" fontId="25" fillId="10" borderId="1" xfId="0" applyFont="1" applyFill="1" applyBorder="1" applyProtection="1"/>
    <xf numFmtId="0" fontId="5" fillId="10" borderId="14" xfId="0" applyFont="1" applyFill="1" applyBorder="1" applyProtection="1"/>
    <xf numFmtId="0" fontId="5" fillId="10" borderId="2" xfId="0" applyFont="1" applyFill="1" applyBorder="1" applyProtection="1"/>
    <xf numFmtId="166" fontId="5" fillId="10" borderId="13" xfId="1" applyNumberFormat="1" applyFont="1" applyFill="1" applyBorder="1" applyProtection="1"/>
    <xf numFmtId="0" fontId="5" fillId="10" borderId="13" xfId="1" applyNumberFormat="1" applyFont="1" applyFill="1" applyBorder="1" applyProtection="1"/>
    <xf numFmtId="164" fontId="5" fillId="10" borderId="13" xfId="1" applyFont="1" applyFill="1" applyBorder="1" applyProtection="1"/>
    <xf numFmtId="4" fontId="5" fillId="10" borderId="13" xfId="1" applyNumberFormat="1" applyFont="1" applyFill="1" applyBorder="1" applyProtection="1"/>
    <xf numFmtId="3" fontId="5" fillId="10" borderId="13" xfId="1" applyNumberFormat="1" applyFont="1" applyFill="1" applyBorder="1" applyProtection="1"/>
    <xf numFmtId="0" fontId="5" fillId="19" borderId="13" xfId="0" applyFont="1" applyFill="1" applyBorder="1" applyProtection="1"/>
    <xf numFmtId="0" fontId="5" fillId="20" borderId="13" xfId="0" applyFont="1" applyFill="1" applyBorder="1" applyProtection="1"/>
    <xf numFmtId="0" fontId="22" fillId="19" borderId="13" xfId="0" applyFont="1" applyFill="1" applyBorder="1" applyProtection="1"/>
    <xf numFmtId="0" fontId="15" fillId="15" borderId="13" xfId="0" applyFont="1" applyFill="1" applyBorder="1" applyProtection="1"/>
    <xf numFmtId="0" fontId="15" fillId="13" borderId="13" xfId="0" applyFont="1" applyFill="1" applyBorder="1" applyProtection="1"/>
    <xf numFmtId="0" fontId="5" fillId="18" borderId="0" xfId="0" applyFont="1" applyFill="1" applyBorder="1" applyProtection="1"/>
    <xf numFmtId="0" fontId="5" fillId="18" borderId="9" xfId="0" applyFont="1" applyFill="1" applyBorder="1" applyProtection="1"/>
    <xf numFmtId="0" fontId="15" fillId="11" borderId="13" xfId="0" applyFont="1" applyFill="1" applyBorder="1" applyProtection="1"/>
    <xf numFmtId="165" fontId="2" fillId="18" borderId="0" xfId="2" applyNumberFormat="1" applyFont="1" applyFill="1" applyBorder="1" applyProtection="1"/>
    <xf numFmtId="9" fontId="2" fillId="18" borderId="0" xfId="2" applyFont="1" applyFill="1" applyBorder="1" applyProtection="1"/>
    <xf numFmtId="9" fontId="15" fillId="12" borderId="13" xfId="2" applyFont="1" applyFill="1" applyBorder="1" applyProtection="1"/>
    <xf numFmtId="165" fontId="15" fillId="12" borderId="13" xfId="2" applyNumberFormat="1" applyFont="1" applyFill="1" applyBorder="1" applyProtection="1"/>
    <xf numFmtId="0" fontId="2" fillId="18" borderId="0" xfId="2" applyNumberFormat="1" applyFont="1" applyFill="1" applyBorder="1" applyProtection="1"/>
    <xf numFmtId="0" fontId="2" fillId="18" borderId="9" xfId="2" applyNumberFormat="1" applyFont="1" applyFill="1" applyBorder="1" applyProtection="1"/>
    <xf numFmtId="0" fontId="0" fillId="0" borderId="0" xfId="0" applyFont="1" applyFill="1"/>
    <xf numFmtId="0" fontId="5" fillId="21" borderId="13" xfId="0" applyFont="1" applyFill="1" applyBorder="1" applyProtection="1"/>
    <xf numFmtId="0" fontId="29" fillId="0" borderId="13" xfId="0" applyFont="1" applyFill="1" applyBorder="1" applyAlignment="1" applyProtection="1">
      <alignment horizontal="left" indent="1"/>
    </xf>
    <xf numFmtId="0" fontId="29" fillId="0" borderId="13" xfId="0" applyFont="1" applyFill="1" applyBorder="1" applyAlignment="1" applyProtection="1">
      <alignment horizontal="left" indent="2"/>
    </xf>
    <xf numFmtId="0" fontId="29" fillId="0" borderId="15" xfId="0" applyFont="1" applyFill="1" applyBorder="1" applyAlignment="1" applyProtection="1">
      <alignment horizontal="left" indent="1"/>
    </xf>
    <xf numFmtId="0" fontId="29" fillId="0" borderId="16" xfId="0" applyFont="1" applyFill="1" applyBorder="1" applyAlignment="1" applyProtection="1">
      <alignment horizontal="left" indent="1"/>
    </xf>
    <xf numFmtId="0" fontId="29" fillId="0" borderId="17" xfId="0" applyFont="1" applyFill="1" applyBorder="1" applyAlignment="1" applyProtection="1">
      <alignment horizontal="left" indent="1"/>
    </xf>
    <xf numFmtId="0" fontId="31" fillId="0" borderId="13" xfId="0" applyFont="1" applyFill="1" applyBorder="1" applyAlignment="1" applyProtection="1">
      <alignment horizontal="left" indent="1"/>
    </xf>
    <xf numFmtId="0" fontId="31" fillId="14" borderId="13" xfId="0" applyFont="1" applyFill="1" applyBorder="1" applyProtection="1">
      <protection locked="0"/>
    </xf>
    <xf numFmtId="0" fontId="0" fillId="11" borderId="11" xfId="0" applyFill="1" applyBorder="1"/>
    <xf numFmtId="0" fontId="0" fillId="11" borderId="0" xfId="0" applyFont="1" applyFill="1" applyBorder="1" applyAlignment="1">
      <alignment horizontal="left" vertical="center" indent="4"/>
    </xf>
    <xf numFmtId="0" fontId="0" fillId="11" borderId="0" xfId="0" applyFill="1" applyBorder="1"/>
    <xf numFmtId="0" fontId="0" fillId="8" borderId="6" xfId="0" applyFill="1" applyBorder="1"/>
    <xf numFmtId="0" fontId="0" fillId="8" borderId="7" xfId="0" applyFill="1" applyBorder="1"/>
    <xf numFmtId="0" fontId="2" fillId="8" borderId="8" xfId="0" applyFont="1" applyFill="1" applyBorder="1"/>
    <xf numFmtId="0" fontId="0" fillId="8" borderId="0" xfId="0" applyFill="1" applyBorder="1"/>
    <xf numFmtId="0" fontId="0" fillId="8" borderId="9" xfId="0" applyFill="1" applyBorder="1"/>
    <xf numFmtId="0" fontId="0" fillId="8" borderId="8" xfId="0" applyFont="1" applyFill="1" applyBorder="1"/>
    <xf numFmtId="0" fontId="0" fillId="8" borderId="8" xfId="0" applyFill="1" applyBorder="1"/>
    <xf numFmtId="0" fontId="0" fillId="8" borderId="11" xfId="0" applyFill="1" applyBorder="1"/>
    <xf numFmtId="0" fontId="0" fillId="8" borderId="12" xfId="0" applyFill="1" applyBorder="1"/>
    <xf numFmtId="0" fontId="6" fillId="8" borderId="5" xfId="0" applyFont="1" applyFill="1" applyBorder="1"/>
    <xf numFmtId="0" fontId="0" fillId="8" borderId="0" xfId="0" applyFill="1"/>
    <xf numFmtId="0" fontId="2" fillId="0" borderId="18" xfId="0" applyFont="1" applyBorder="1"/>
    <xf numFmtId="0" fontId="2" fillId="0" borderId="19" xfId="0" applyFont="1" applyBorder="1"/>
    <xf numFmtId="0" fontId="2" fillId="0" borderId="20" xfId="0" applyFont="1" applyBorder="1"/>
    <xf numFmtId="0" fontId="2" fillId="0" borderId="13" xfId="0" applyFont="1" applyBorder="1"/>
    <xf numFmtId="0" fontId="2" fillId="7" borderId="2" xfId="0" applyFont="1" applyFill="1" applyBorder="1"/>
    <xf numFmtId="0" fontId="2" fillId="0" borderId="2" xfId="0" applyFont="1" applyBorder="1"/>
    <xf numFmtId="0" fontId="0" fillId="0" borderId="21" xfId="0" applyBorder="1"/>
    <xf numFmtId="0" fontId="2" fillId="0" borderId="21" xfId="0" applyFont="1" applyBorder="1"/>
    <xf numFmtId="171" fontId="0" fillId="0" borderId="21" xfId="1" applyNumberFormat="1" applyFont="1" applyBorder="1"/>
    <xf numFmtId="171" fontId="0" fillId="0" borderId="21" xfId="0" applyNumberFormat="1" applyBorder="1"/>
    <xf numFmtId="171" fontId="11" fillId="0" borderId="21" xfId="1" applyNumberFormat="1" applyFont="1" applyBorder="1"/>
    <xf numFmtId="171" fontId="11" fillId="0" borderId="21" xfId="0" applyNumberFormat="1" applyFont="1" applyBorder="1"/>
    <xf numFmtId="1" fontId="0" fillId="0" borderId="21" xfId="0" applyNumberFormat="1" applyBorder="1"/>
    <xf numFmtId="0" fontId="16" fillId="17" borderId="1" xfId="0" applyFont="1" applyFill="1" applyBorder="1"/>
    <xf numFmtId="0" fontId="0" fillId="17" borderId="14" xfId="0" applyFont="1" applyFill="1" applyBorder="1"/>
    <xf numFmtId="0" fontId="0" fillId="17" borderId="2" xfId="0" applyFill="1" applyBorder="1"/>
    <xf numFmtId="9" fontId="2" fillId="0" borderId="13" xfId="2" applyNumberFormat="1" applyFont="1" applyBorder="1" applyProtection="1"/>
    <xf numFmtId="0" fontId="29" fillId="0" borderId="0" xfId="0" applyFont="1" applyFill="1" applyBorder="1" applyProtection="1"/>
    <xf numFmtId="166" fontId="29" fillId="18" borderId="13" xfId="0" applyNumberFormat="1" applyFont="1" applyFill="1" applyBorder="1" applyAlignment="1" applyProtection="1">
      <alignment horizontal="left" indent="2"/>
    </xf>
    <xf numFmtId="166" fontId="2" fillId="18" borderId="13" xfId="1" applyNumberFormat="1" applyFont="1" applyFill="1" applyBorder="1" applyProtection="1"/>
    <xf numFmtId="3" fontId="2" fillId="18" borderId="13" xfId="1" applyNumberFormat="1" applyFont="1" applyFill="1" applyBorder="1" applyProtection="1"/>
    <xf numFmtId="0" fontId="2" fillId="22" borderId="13" xfId="0" applyFont="1" applyFill="1" applyBorder="1" applyProtection="1"/>
    <xf numFmtId="0" fontId="2" fillId="18" borderId="0" xfId="0" applyFont="1" applyFill="1" applyAlignment="1">
      <alignment wrapText="1"/>
    </xf>
    <xf numFmtId="0" fontId="2" fillId="0" borderId="0" xfId="0" applyFont="1" applyAlignment="1">
      <alignment wrapText="1"/>
    </xf>
    <xf numFmtId="0" fontId="36" fillId="18" borderId="0" xfId="0" applyFont="1" applyFill="1" applyBorder="1"/>
    <xf numFmtId="0" fontId="17" fillId="18" borderId="0" xfId="0" applyFont="1" applyFill="1" applyProtection="1"/>
    <xf numFmtId="0" fontId="34" fillId="18" borderId="0" xfId="0" applyFont="1" applyFill="1"/>
    <xf numFmtId="0" fontId="35" fillId="0" borderId="0" xfId="0" applyFont="1"/>
  </cellXfs>
  <cellStyles count="5">
    <cellStyle name="Erotin 2" xfId="3" xr:uid="{00000000-0005-0000-0000-000001000000}"/>
    <cellStyle name="Normaali" xfId="0" builtinId="0"/>
    <cellStyle name="Normaali 2" xfId="4" xr:uid="{00000000-0005-0000-0000-000003000000}"/>
    <cellStyle name="Pilkku" xfId="1" builtinId="3"/>
    <cellStyle name="Prosenttia" xfId="2" builtinId="5"/>
  </cellStyles>
  <dxfs count="4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fgColor theme="0"/>
        </patternFill>
      </fill>
    </dxf>
    <dxf>
      <font>
        <color theme="0"/>
      </font>
    </dxf>
    <dxf>
      <border outline="0">
        <bottom style="thin">
          <color theme="4" tint="0.39997558519241921"/>
        </bottom>
      </border>
    </dxf>
    <dxf>
      <font>
        <b val="0"/>
        <i val="0"/>
        <strike val="0"/>
        <condense val="0"/>
        <extend val="0"/>
        <outline val="0"/>
        <shadow val="0"/>
        <u val="none"/>
        <vertAlign val="baseline"/>
        <sz val="12"/>
        <color theme="1"/>
        <name val="Arial"/>
        <scheme val="none"/>
      </font>
    </dxf>
    <dxf>
      <font>
        <color theme="0"/>
      </font>
    </dxf>
    <dxf>
      <font>
        <color rgb="FF9C0006"/>
      </font>
    </dxf>
    <dxf>
      <font>
        <strike val="0"/>
        <color theme="0"/>
      </font>
    </dxf>
    <dxf>
      <font>
        <color theme="0"/>
      </font>
    </dxf>
    <dxf>
      <font>
        <color theme="0"/>
      </font>
    </dxf>
    <dxf>
      <font>
        <color theme="0"/>
      </font>
    </dxf>
    <dxf>
      <font>
        <color theme="0"/>
      </font>
    </dxf>
    <dxf>
      <font>
        <color theme="0"/>
      </font>
    </dxf>
    <dxf>
      <font>
        <color rgb="FF9C0006"/>
      </font>
    </dxf>
    <dxf>
      <font>
        <strike val="0"/>
        <color theme="0"/>
      </font>
    </dxf>
    <dxf>
      <font>
        <color theme="0"/>
      </font>
    </dxf>
    <dxf>
      <font>
        <color rgb="FF9C0006"/>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b/>
      </font>
    </dxf>
    <dxf>
      <font>
        <b/>
      </font>
    </dxf>
    <dxf>
      <font>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a:t>
            </a:r>
            <a:r>
              <a:rPr lang="en-US" baseline="0"/>
              <a:t> </a:t>
            </a:r>
            <a:r>
              <a:rPr lang="en-US"/>
              <a:t>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2B5D-42DB-BFCE-6ED3AD7A29FC}"/>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-212500</c:v>
                </c:pt>
                <c:pt idx="1">
                  <c:v>-194650</c:v>
                </c:pt>
                <c:pt idx="2">
                  <c:v>-176443</c:v>
                </c:pt>
                <c:pt idx="3">
                  <c:v>-157871.85999999999</c:v>
                </c:pt>
                <c:pt idx="4">
                  <c:v>-138929.29719999997</c:v>
                </c:pt>
                <c:pt idx="5">
                  <c:v>-119607.88314399998</c:v>
                </c:pt>
                <c:pt idx="6">
                  <c:v>-99900.040806879973</c:v>
                </c:pt>
                <c:pt idx="7">
                  <c:v>-79798.041623017576</c:v>
                </c:pt>
                <c:pt idx="8">
                  <c:v>-59294.00245547793</c:v>
                </c:pt>
                <c:pt idx="9">
                  <c:v>-38379.882504587491</c:v>
                </c:pt>
                <c:pt idx="10">
                  <c:v>-17047.480154679241</c:v>
                </c:pt>
                <c:pt idx="11">
                  <c:v>4711.5702422271743</c:v>
                </c:pt>
                <c:pt idx="12">
                  <c:v>26811.570242227175</c:v>
                </c:pt>
                <c:pt idx="13">
                  <c:v>48911.570242227172</c:v>
                </c:pt>
                <c:pt idx="14">
                  <c:v>71011.570242227172</c:v>
                </c:pt>
                <c:pt idx="15">
                  <c:v>93111.570242227172</c:v>
                </c:pt>
                <c:pt idx="16">
                  <c:v>115211.57024222717</c:v>
                </c:pt>
                <c:pt idx="17">
                  <c:v>137311.57024222717</c:v>
                </c:pt>
                <c:pt idx="18">
                  <c:v>159411.57024222717</c:v>
                </c:pt>
                <c:pt idx="19">
                  <c:v>181511.57024222717</c:v>
                </c:pt>
                <c:pt idx="20">
                  <c:v>203611.57024222717</c:v>
                </c:pt>
              </c:numCache>
            </c:numRef>
          </c:val>
          <c:smooth val="0"/>
          <c:extLst>
            <c:ext xmlns:c16="http://schemas.microsoft.com/office/drawing/2014/chart" uri="{C3380CC4-5D6E-409C-BE32-E72D297353CC}">
              <c16:uniqueId val="{00000001-2B5D-42DB-BFCE-6ED3AD7A29FC}"/>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2-2B5D-42DB-BFCE-6ED3AD7A29FC}"/>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-212500</c:v>
                </c:pt>
                <c:pt idx="1">
                  <c:v>-194650</c:v>
                </c:pt>
                <c:pt idx="2">
                  <c:v>-175705</c:v>
                </c:pt>
                <c:pt idx="3">
                  <c:v>-155620.96</c:v>
                </c:pt>
                <c:pt idx="4">
                  <c:v>-134352.29499999998</c:v>
                </c:pt>
                <c:pt idx="5">
                  <c:v>-111851.82417399998</c:v>
                </c:pt>
                <c:pt idx="6">
                  <c:v>-88070.718429699962</c:v>
                </c:pt>
                <c:pt idx="7">
                  <c:v>-62958.446303680546</c:v>
                </c:pt>
                <c:pt idx="8">
                  <c:v>-36462.718140302342</c:v>
                </c:pt>
                <c:pt idx="9">
                  <c:v>-8529.4285009730174</c:v>
                </c:pt>
                <c:pt idx="10">
                  <c:v>20897.403251206953</c:v>
                </c:pt>
                <c:pt idx="11">
                  <c:v>51457.746183072355</c:v>
                </c:pt>
                <c:pt idx="12">
                  <c:v>83009.899402893716</c:v>
                </c:pt>
                <c:pt idx="13">
                  <c:v>115583.61721930972</c:v>
                </c:pt>
                <c:pt idx="14">
                  <c:v>149209.54657021823</c:v>
                </c:pt>
                <c:pt idx="15">
                  <c:v>183919.25380165398</c:v>
                </c:pt>
                <c:pt idx="16">
                  <c:v>219745.25225003279</c:v>
                </c:pt>
                <c:pt idx="17">
                  <c:v>256721.03065186297</c:v>
                </c:pt>
                <c:pt idx="18">
                  <c:v>294881.08240574808</c:v>
                </c:pt>
                <c:pt idx="19">
                  <c:v>334260.93571224972</c:v>
                </c:pt>
                <c:pt idx="20">
                  <c:v>374897.18461794639</c:v>
                </c:pt>
              </c:numCache>
            </c:numRef>
          </c:val>
          <c:smooth val="0"/>
          <c:extLst>
            <c:ext xmlns:c16="http://schemas.microsoft.com/office/drawing/2014/chart" uri="{C3380CC4-5D6E-409C-BE32-E72D297353CC}">
              <c16:uniqueId val="{00000003-2B5D-42DB-BFCE-6ED3AD7A29FC}"/>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4-2B5D-42DB-BFCE-6ED3AD7A29FC}"/>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-212500</c:v>
                </c:pt>
                <c:pt idx="1">
                  <c:v>-194650</c:v>
                </c:pt>
                <c:pt idx="2">
                  <c:v>-174967</c:v>
                </c:pt>
                <c:pt idx="3">
                  <c:v>-153325.78</c:v>
                </c:pt>
                <c:pt idx="4">
                  <c:v>-129593.302</c:v>
                </c:pt>
                <c:pt idx="5">
                  <c:v>-103628.234824</c:v>
                </c:pt>
                <c:pt idx="6">
                  <c:v>-75280.450311519991</c:v>
                </c:pt>
                <c:pt idx="7">
                  <c:v>-44390.489156252777</c:v>
                </c:pt>
                <c:pt idx="8">
                  <c:v>-10788.99456819037</c:v>
                </c:pt>
                <c:pt idx="9">
                  <c:v>25703.888173904539</c:v>
                </c:pt>
                <c:pt idx="10">
                  <c:v>64765.070565370785</c:v>
                </c:pt>
                <c:pt idx="11">
                  <c:v>106319.923900325</c:v>
                </c:pt>
                <c:pt idx="12">
                  <c:v>150518.06843537648</c:v>
                </c:pt>
                <c:pt idx="13">
                  <c:v>197518.10164253105</c:v>
                </c:pt>
                <c:pt idx="14">
                  <c:v>247488.13684211488</c:v>
                </c:pt>
                <c:pt idx="15">
                  <c:v>300606.37415367371</c:v>
                </c:pt>
                <c:pt idx="16">
                  <c:v>357061.7057039261</c:v>
                </c:pt>
                <c:pt idx="17">
                  <c:v>417054.35714719363</c:v>
                </c:pt>
                <c:pt idx="18">
                  <c:v>480796.56767705723</c:v>
                </c:pt>
                <c:pt idx="19">
                  <c:v>548513.31083871261</c:v>
                </c:pt>
                <c:pt idx="20">
                  <c:v>620443.05859006732</c:v>
                </c:pt>
              </c:numCache>
            </c:numRef>
          </c:val>
          <c:smooth val="0"/>
          <c:extLst>
            <c:ext xmlns:c16="http://schemas.microsoft.com/office/drawing/2014/chart" uri="{C3380CC4-5D6E-409C-BE32-E72D297353CC}">
              <c16:uniqueId val="{00000005-2B5D-42DB-BFCE-6ED3AD7A29FC}"/>
            </c:ext>
          </c:extLst>
        </c:ser>
        <c:dLbls>
          <c:showLegendKey val="0"/>
          <c:showVal val="0"/>
          <c:showCatName val="0"/>
          <c:showSerName val="0"/>
          <c:showPercent val="0"/>
          <c:showBubbleSize val="0"/>
        </c:dLbls>
        <c:smooth val="0"/>
        <c:axId val="456035776"/>
        <c:axId val="456040480"/>
      </c:lineChart>
      <c:catAx>
        <c:axId val="45603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040480"/>
        <c:crosses val="autoZero"/>
        <c:auto val="1"/>
        <c:lblAlgn val="ctr"/>
        <c:lblOffset val="100"/>
        <c:noMultiLvlLbl val="0"/>
      </c:catAx>
      <c:valAx>
        <c:axId val="4560404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035776"/>
        <c:crosses val="autoZero"/>
        <c:crossBetween val="between"/>
      </c:valAx>
      <c:spPr>
        <a:noFill/>
        <a:ln>
          <a:noFill/>
        </a:ln>
        <a:effectLst/>
      </c:spPr>
    </c:plotArea>
    <c:legend>
      <c:legendPos val="b"/>
      <c:layout>
        <c:manualLayout>
          <c:xMode val="edge"/>
          <c:yMode val="edge"/>
          <c:x val="9.8109925608411419E-3"/>
          <c:y val="0.67360892388451443"/>
          <c:w val="0.98432278805386009"/>
          <c:h val="0.307872557596967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2</a:t>
            </a:r>
          </a:p>
        </c:rich>
      </c:tx>
      <c:layout>
        <c:manualLayout>
          <c:xMode val="edge"/>
          <c:yMode val="edge"/>
          <c:x val="0.31612903225806449"/>
          <c:y val="2.531646290568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0036332356851"/>
          <c:y val="0.14849902534113063"/>
          <c:w val="0.79968575900594296"/>
          <c:h val="0.58761005875934957"/>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-212500</c:v>
                </c:pt>
                <c:pt idx="1">
                  <c:v>-194650</c:v>
                </c:pt>
                <c:pt idx="2">
                  <c:v>-176443</c:v>
                </c:pt>
                <c:pt idx="3">
                  <c:v>-157871.85999999999</c:v>
                </c:pt>
                <c:pt idx="4">
                  <c:v>-138929.29719999997</c:v>
                </c:pt>
                <c:pt idx="5">
                  <c:v>-119607.88314399998</c:v>
                </c:pt>
                <c:pt idx="6">
                  <c:v>-99900.040806879973</c:v>
                </c:pt>
                <c:pt idx="7">
                  <c:v>-79798.041623017576</c:v>
                </c:pt>
                <c:pt idx="8">
                  <c:v>-59294.00245547793</c:v>
                </c:pt>
                <c:pt idx="9">
                  <c:v>-38379.882504587491</c:v>
                </c:pt>
                <c:pt idx="10">
                  <c:v>-17047.480154679241</c:v>
                </c:pt>
                <c:pt idx="11">
                  <c:v>4711.5702422271743</c:v>
                </c:pt>
                <c:pt idx="12">
                  <c:v>26811.570242227175</c:v>
                </c:pt>
                <c:pt idx="13">
                  <c:v>48911.570242227172</c:v>
                </c:pt>
                <c:pt idx="14">
                  <c:v>71011.570242227172</c:v>
                </c:pt>
                <c:pt idx="15">
                  <c:v>93111.570242227172</c:v>
                </c:pt>
                <c:pt idx="16">
                  <c:v>115211.57024222717</c:v>
                </c:pt>
                <c:pt idx="17">
                  <c:v>137311.57024222717</c:v>
                </c:pt>
                <c:pt idx="18">
                  <c:v>159411.57024222717</c:v>
                </c:pt>
                <c:pt idx="19">
                  <c:v>181511.57024222717</c:v>
                </c:pt>
                <c:pt idx="20">
                  <c:v>203611.57024222717</c:v>
                </c:pt>
              </c:numCache>
            </c:numRef>
          </c:val>
          <c:smooth val="0"/>
          <c:extLst>
            <c:ext xmlns:c16="http://schemas.microsoft.com/office/drawing/2014/chart" uri="{C3380CC4-5D6E-409C-BE32-E72D297353CC}">
              <c16:uniqueId val="{00000000-9791-45B5-A7C2-61D56138BCFB}"/>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-212500</c:v>
                </c:pt>
                <c:pt idx="1">
                  <c:v>-194650</c:v>
                </c:pt>
                <c:pt idx="2">
                  <c:v>-175705</c:v>
                </c:pt>
                <c:pt idx="3">
                  <c:v>-155620.96</c:v>
                </c:pt>
                <c:pt idx="4">
                  <c:v>-134352.29499999998</c:v>
                </c:pt>
                <c:pt idx="5">
                  <c:v>-111851.82417399998</c:v>
                </c:pt>
                <c:pt idx="6">
                  <c:v>-88070.718429699962</c:v>
                </c:pt>
                <c:pt idx="7">
                  <c:v>-62958.446303680546</c:v>
                </c:pt>
                <c:pt idx="8">
                  <c:v>-36462.718140302342</c:v>
                </c:pt>
                <c:pt idx="9">
                  <c:v>-8529.4285009730174</c:v>
                </c:pt>
                <c:pt idx="10">
                  <c:v>20897.403251206953</c:v>
                </c:pt>
                <c:pt idx="11">
                  <c:v>51457.746183072355</c:v>
                </c:pt>
                <c:pt idx="12">
                  <c:v>83009.899402893716</c:v>
                </c:pt>
                <c:pt idx="13">
                  <c:v>115583.61721930972</c:v>
                </c:pt>
                <c:pt idx="14">
                  <c:v>149209.54657021823</c:v>
                </c:pt>
                <c:pt idx="15">
                  <c:v>183919.25380165398</c:v>
                </c:pt>
                <c:pt idx="16">
                  <c:v>219745.25225003279</c:v>
                </c:pt>
                <c:pt idx="17">
                  <c:v>256721.03065186297</c:v>
                </c:pt>
                <c:pt idx="18">
                  <c:v>294881.08240574808</c:v>
                </c:pt>
                <c:pt idx="19">
                  <c:v>334260.93571224972</c:v>
                </c:pt>
                <c:pt idx="20">
                  <c:v>374897.18461794639</c:v>
                </c:pt>
              </c:numCache>
            </c:numRef>
          </c:val>
          <c:smooth val="0"/>
          <c:extLst>
            <c:ext xmlns:c16="http://schemas.microsoft.com/office/drawing/2014/chart" uri="{C3380CC4-5D6E-409C-BE32-E72D297353CC}">
              <c16:uniqueId val="{00000001-9791-45B5-A7C2-61D56138BCFB}"/>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-212500</c:v>
                </c:pt>
                <c:pt idx="1">
                  <c:v>-194650</c:v>
                </c:pt>
                <c:pt idx="2">
                  <c:v>-174967</c:v>
                </c:pt>
                <c:pt idx="3">
                  <c:v>-153325.78</c:v>
                </c:pt>
                <c:pt idx="4">
                  <c:v>-129593.302</c:v>
                </c:pt>
                <c:pt idx="5">
                  <c:v>-103628.234824</c:v>
                </c:pt>
                <c:pt idx="6">
                  <c:v>-75280.450311519991</c:v>
                </c:pt>
                <c:pt idx="7">
                  <c:v>-44390.489156252777</c:v>
                </c:pt>
                <c:pt idx="8">
                  <c:v>-10788.99456819037</c:v>
                </c:pt>
                <c:pt idx="9">
                  <c:v>25703.888173904539</c:v>
                </c:pt>
                <c:pt idx="10">
                  <c:v>64765.070565370785</c:v>
                </c:pt>
                <c:pt idx="11">
                  <c:v>106319.923900325</c:v>
                </c:pt>
                <c:pt idx="12">
                  <c:v>150518.06843537648</c:v>
                </c:pt>
                <c:pt idx="13">
                  <c:v>197518.10164253105</c:v>
                </c:pt>
                <c:pt idx="14">
                  <c:v>247488.13684211488</c:v>
                </c:pt>
                <c:pt idx="15">
                  <c:v>300606.37415367371</c:v>
                </c:pt>
                <c:pt idx="16">
                  <c:v>357061.7057039261</c:v>
                </c:pt>
                <c:pt idx="17">
                  <c:v>417054.35714719363</c:v>
                </c:pt>
                <c:pt idx="18">
                  <c:v>480796.56767705723</c:v>
                </c:pt>
                <c:pt idx="19">
                  <c:v>548513.31083871261</c:v>
                </c:pt>
                <c:pt idx="20">
                  <c:v>620443.05859006732</c:v>
                </c:pt>
              </c:numCache>
            </c:numRef>
          </c:val>
          <c:smooth val="0"/>
          <c:extLst>
            <c:ext xmlns:c16="http://schemas.microsoft.com/office/drawing/2014/chart" uri="{C3380CC4-5D6E-409C-BE32-E72D297353CC}">
              <c16:uniqueId val="{00000002-9791-45B5-A7C2-61D56138BCFB}"/>
            </c:ext>
          </c:extLst>
        </c:ser>
        <c:dLbls>
          <c:showLegendKey val="0"/>
          <c:showVal val="0"/>
          <c:showCatName val="0"/>
          <c:showSerName val="0"/>
          <c:showPercent val="0"/>
          <c:showBubbleSize val="0"/>
        </c:dLbls>
        <c:smooth val="0"/>
        <c:axId val="456034208"/>
        <c:axId val="145812768"/>
      </c:lineChart>
      <c:catAx>
        <c:axId val="456034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571"/>
              <c:y val="0.7598922503108165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145812768"/>
        <c:crosses val="autoZero"/>
        <c:auto val="1"/>
        <c:lblAlgn val="ctr"/>
        <c:lblOffset val="100"/>
        <c:noMultiLvlLbl val="1"/>
      </c:catAx>
      <c:valAx>
        <c:axId val="14581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73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034208"/>
        <c:crosses val="autoZero"/>
        <c:crossBetween val="between"/>
      </c:valAx>
      <c:spPr>
        <a:noFill/>
        <a:ln>
          <a:noFill/>
        </a:ln>
        <a:effectLst/>
      </c:spPr>
    </c:plotArea>
    <c:legend>
      <c:legendPos val="b"/>
      <c:layout>
        <c:manualLayout>
          <c:xMode val="edge"/>
          <c:yMode val="edge"/>
          <c:x val="6.4372213776965493E-3"/>
          <c:y val="0.76670040618879232"/>
          <c:w val="0.9793775940697218"/>
          <c:h val="0.213806475359194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66"/>
          <c:y val="1.54838646750867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71223288869713"/>
          <c:y val="7.3373601180113671E-2"/>
          <c:w val="0.78543764523625093"/>
          <c:h val="0.65751149394916253"/>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10F7-48FC-9217-BB5D0B375445}"/>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1-10F7-48FC-9217-BB5D0B375445}"/>
            </c:ext>
          </c:extLst>
        </c:ser>
        <c:ser>
          <c:idx val="2"/>
          <c:order val="2"/>
          <c:tx>
            <c:strRef>
              <c:f>'4. Cash flow '!$J$9</c:f>
              <c:strCache>
                <c:ptCount val="1"/>
                <c:pt idx="0">
                  <c:v>Cashflow_1 Option 2. Energy/water prices change</c:v>
                </c:pt>
              </c:strCache>
            </c:strRef>
          </c:tx>
          <c:spPr>
            <a:ln w="28575" cap="rnd">
              <a:solidFill>
                <a:schemeClr val="bg2">
                  <a:lumMod val="50000"/>
                </a:schemeClr>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2-10F7-48FC-9217-BB5D0B375445}"/>
            </c:ext>
          </c:extLst>
        </c:ser>
        <c:dLbls>
          <c:showLegendKey val="0"/>
          <c:showVal val="0"/>
          <c:showCatName val="0"/>
          <c:showSerName val="0"/>
          <c:showPercent val="0"/>
          <c:showBubbleSize val="0"/>
        </c:dLbls>
        <c:smooth val="0"/>
        <c:axId val="459249624"/>
        <c:axId val="459251192"/>
      </c:lineChart>
      <c:catAx>
        <c:axId val="4592496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541"/>
              <c:y val="0.735898263974742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30" b="0" i="0" u="none" strike="noStrike" kern="1200" spc="-100" baseline="0">
                <a:solidFill>
                  <a:schemeClr val="tx1">
                    <a:lumMod val="65000"/>
                    <a:lumOff val="35000"/>
                  </a:schemeClr>
                </a:solidFill>
                <a:latin typeface="+mn-lt"/>
                <a:ea typeface="+mn-ea"/>
                <a:cs typeface="+mn-cs"/>
              </a:defRPr>
            </a:pPr>
            <a:endParaRPr lang="en-US"/>
          </a:p>
        </c:txPr>
        <c:crossAx val="459251192"/>
        <c:crosses val="autoZero"/>
        <c:auto val="1"/>
        <c:lblAlgn val="ctr"/>
        <c:lblOffset val="100"/>
        <c:noMultiLvlLbl val="1"/>
      </c:catAx>
      <c:valAx>
        <c:axId val="459251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73E-3"/>
              <c:y val="3.9149295480884541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9624"/>
        <c:crosses val="autoZero"/>
        <c:crossBetween val="between"/>
      </c:valAx>
      <c:spPr>
        <a:noFill/>
        <a:ln>
          <a:noFill/>
        </a:ln>
        <a:effectLst/>
      </c:spPr>
    </c:plotArea>
    <c:legend>
      <c:legendPos val="b"/>
      <c:layout>
        <c:manualLayout>
          <c:xMode val="edge"/>
          <c:yMode val="edge"/>
          <c:x val="8.581105854007719E-3"/>
          <c:y val="0.76173149077841784"/>
          <c:w val="0.98236080800321246"/>
          <c:h val="0.20923902129683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842566897658782"/>
          <c:y val="0.11976495944999881"/>
          <c:w val="0.76402874511152441"/>
          <c:h val="0.65799004681484663"/>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184B-44DD-A9AF-8E8DC0FD41D5}"/>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1-184B-44DD-A9AF-8E8DC0FD41D5}"/>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2-184B-44DD-A9AF-8E8DC0FD41D5}"/>
            </c:ext>
          </c:extLst>
        </c:ser>
        <c:dLbls>
          <c:showLegendKey val="0"/>
          <c:showVal val="0"/>
          <c:showCatName val="0"/>
          <c:showSerName val="0"/>
          <c:showPercent val="0"/>
          <c:showBubbleSize val="0"/>
        </c:dLbls>
        <c:smooth val="0"/>
        <c:axId val="459246488"/>
        <c:axId val="459247664"/>
      </c:lineChart>
      <c:catAx>
        <c:axId val="45924648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459247664"/>
        <c:crosses val="autoZero"/>
        <c:auto val="1"/>
        <c:lblAlgn val="ctr"/>
        <c:lblOffset val="100"/>
        <c:noMultiLvlLbl val="0"/>
      </c:catAx>
      <c:valAx>
        <c:axId val="459247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6488"/>
        <c:crosses val="autoZero"/>
        <c:crossBetween val="between"/>
      </c:valAx>
      <c:spPr>
        <a:noFill/>
        <a:ln>
          <a:noFill/>
        </a:ln>
        <a:effectLst/>
      </c:spPr>
    </c:plotArea>
    <c:legend>
      <c:legendPos val="b"/>
      <c:layout>
        <c:manualLayout>
          <c:xMode val="edge"/>
          <c:yMode val="edge"/>
          <c:x val="3.6248631172759033E-2"/>
          <c:y val="0.77971884264041103"/>
          <c:w val="0.91409918131094559"/>
          <c:h val="0.22028113618664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949"/>
          <c:y val="2.85132382892057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2872542001769"/>
          <c:y val="0.11633208781692513"/>
          <c:w val="0.78440350167709394"/>
          <c:h val="0.64805124783130919"/>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-212500</c:v>
                </c:pt>
                <c:pt idx="1">
                  <c:v>-195336.53846153847</c:v>
                </c:pt>
                <c:pt idx="2">
                  <c:v>-178503.14349112427</c:v>
                </c:pt>
                <c:pt idx="3">
                  <c:v>-161993.4676547565</c:v>
                </c:pt>
                <c:pt idx="4">
                  <c:v>-145801.28558447273</c:v>
                </c:pt>
                <c:pt idx="5">
                  <c:v>-129920.49163092519</c:v>
                </c:pt>
                <c:pt idx="6">
                  <c:v>-114345.09756109971</c:v>
                </c:pt>
                <c:pt idx="7">
                  <c:v>-99069.23030030934</c:v>
                </c:pt>
                <c:pt idx="8">
                  <c:v>-84087.129717611097</c:v>
                </c:pt>
                <c:pt idx="9">
                  <c:v>-69393.146453810885</c:v>
                </c:pt>
                <c:pt idx="10">
                  <c:v>-54981.739791237604</c:v>
                </c:pt>
                <c:pt idx="11">
                  <c:v>-40847.475564483044</c:v>
                </c:pt>
                <c:pt idx="12">
                  <c:v>-27043.880768763604</c:v>
                </c:pt>
                <c:pt idx="13">
                  <c:v>-13771.19346518722</c:v>
                </c:pt>
                <c:pt idx="14">
                  <c:v>-1008.9941348253124</c:v>
                </c:pt>
                <c:pt idx="15">
                  <c:v>11262.351375138061</c:v>
                </c:pt>
                <c:pt idx="16">
                  <c:v>23061.722057795148</c:v>
                </c:pt>
                <c:pt idx="17">
                  <c:v>34407.27079111927</c:v>
                </c:pt>
                <c:pt idx="18">
                  <c:v>45316.452265469386</c:v>
                </c:pt>
                <c:pt idx="19">
                  <c:v>55806.049836959879</c:v>
                </c:pt>
                <c:pt idx="20">
                  <c:v>65892.201348008428</c:v>
                </c:pt>
              </c:numCache>
            </c:numRef>
          </c:val>
          <c:smooth val="0"/>
          <c:extLst>
            <c:ext xmlns:c16="http://schemas.microsoft.com/office/drawing/2014/chart" uri="{C3380CC4-5D6E-409C-BE32-E72D297353CC}">
              <c16:uniqueId val="{00000000-9CE6-4403-93A1-E21164718C19}"/>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-212500</c:v>
                </c:pt>
                <c:pt idx="1">
                  <c:v>-195336.53846153847</c:v>
                </c:pt>
                <c:pt idx="2">
                  <c:v>-177820.82100591715</c:v>
                </c:pt>
                <c:pt idx="3">
                  <c:v>-159966.18257851616</c:v>
                </c:pt>
                <c:pt idx="4">
                  <c:v>-141785.63859890893</c:v>
                </c:pt>
                <c:pt idx="5">
                  <c:v>-123291.89171217155</c:v>
                </c:pt>
                <c:pt idx="6">
                  <c:v>-104497.33840452664</c:v>
                </c:pt>
                <c:pt idx="7">
                  <c:v>-85414.075485986847</c:v>
                </c:pt>
                <c:pt idx="8">
                  <c:v>-66053.906442611187</c:v>
                </c:pt>
                <c:pt idx="9">
                  <c:v>-46428.34766093683</c:v>
                </c:pt>
                <c:pt idx="10">
                  <c:v>-26548.634527098751</c:v>
                </c:pt>
                <c:pt idx="11">
                  <c:v>-6697.2184965246888</c:v>
                </c:pt>
                <c:pt idx="12">
                  <c:v>13010.163312473891</c:v>
                </c:pt>
                <c:pt idx="13">
                  <c:v>32573.094122076818</c:v>
                </c:pt>
                <c:pt idx="14">
                  <c:v>51991.230458952894</c:v>
                </c:pt>
                <c:pt idx="15">
                  <c:v>71264.298784139435</c:v>
                </c:pt>
                <c:pt idx="16">
                  <c:v>90392.092257837154</c:v>
                </c:pt>
                <c:pt idx="17">
                  <c:v>109374.4676338805</c:v>
                </c:pt>
                <c:pt idx="18">
                  <c:v>128211.34227884543</c:v>
                </c:pt>
                <c:pt idx="19">
                  <c:v>146902.69131095093</c:v>
                </c:pt>
                <c:pt idx="20">
                  <c:v>165448.54485409745</c:v>
                </c:pt>
              </c:numCache>
            </c:numRef>
          </c:val>
          <c:smooth val="0"/>
          <c:extLst>
            <c:ext xmlns:c16="http://schemas.microsoft.com/office/drawing/2014/chart" uri="{C3380CC4-5D6E-409C-BE32-E72D297353CC}">
              <c16:uniqueId val="{00000001-9CE6-4403-93A1-E21164718C19}"/>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-212500</c:v>
                </c:pt>
                <c:pt idx="1">
                  <c:v>-195336.53846153847</c:v>
                </c:pt>
                <c:pt idx="2">
                  <c:v>-177138.49852071007</c:v>
                </c:pt>
                <c:pt idx="3">
                  <c:v>-157899.5327435139</c:v>
                </c:pt>
                <c:pt idx="4">
                  <c:v>-137612.91108559314</c:v>
                </c:pt>
                <c:pt idx="5">
                  <c:v>-116271.51854481125</c:v>
                </c:pt>
                <c:pt idx="6">
                  <c:v>-93867.852672330249</c:v>
                </c:pt>
                <c:pt idx="7">
                  <c:v>-70394.020941322902</c:v>
                </c:pt>
                <c:pt idx="8">
                  <c:v>-45841.737972398536</c:v>
                </c:pt>
                <c:pt idx="9">
                  <c:v>-20202.322614769033</c:v>
                </c:pt>
                <c:pt idx="10">
                  <c:v>6186.0126008747793</c:v>
                </c:pt>
                <c:pt idx="11">
                  <c:v>33179.25294116931</c:v>
                </c:pt>
                <c:pt idx="12">
                  <c:v>60785.28361467574</c:v>
                </c:pt>
                <c:pt idx="13">
                  <c:v>89012.2856063621</c:v>
                </c:pt>
                <c:pt idx="14">
                  <c:v>117868.73582185032</c:v>
                </c:pt>
                <c:pt idx="15">
                  <c:v>147363.40744765877</c:v>
                </c:pt>
                <c:pt idx="16">
                  <c:v>177505.37052339333</c:v>
                </c:pt>
                <c:pt idx="17">
                  <c:v>208303.99272207747</c:v>
                </c:pt>
                <c:pt idx="18">
                  <c:v>239768.94033504184</c:v>
                </c:pt>
                <c:pt idx="19">
                  <c:v>271910.17945801676</c:v>
                </c:pt>
                <c:pt idx="20">
                  <c:v>304737.97737528681</c:v>
                </c:pt>
              </c:numCache>
            </c:numRef>
          </c:val>
          <c:smooth val="0"/>
          <c:extLst>
            <c:ext xmlns:c16="http://schemas.microsoft.com/office/drawing/2014/chart" uri="{C3380CC4-5D6E-409C-BE32-E72D297353CC}">
              <c16:uniqueId val="{00000002-9CE6-4403-93A1-E21164718C19}"/>
            </c:ext>
          </c:extLst>
        </c:ser>
        <c:dLbls>
          <c:showLegendKey val="0"/>
          <c:showVal val="0"/>
          <c:showCatName val="0"/>
          <c:showSerName val="0"/>
          <c:showPercent val="0"/>
          <c:showBubbleSize val="0"/>
        </c:dLbls>
        <c:smooth val="0"/>
        <c:axId val="459244528"/>
        <c:axId val="459250408"/>
      </c:lineChart>
      <c:catAx>
        <c:axId val="4592445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458"/>
              <c:y val="0.598269059242138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50408"/>
        <c:crosses val="autoZero"/>
        <c:auto val="1"/>
        <c:lblAlgn val="ctr"/>
        <c:lblOffset val="100"/>
        <c:noMultiLvlLbl val="0"/>
      </c:catAx>
      <c:valAx>
        <c:axId val="459250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4528"/>
        <c:crosses val="autoZero"/>
        <c:crossBetween val="between"/>
      </c:valAx>
      <c:spPr>
        <a:noFill/>
        <a:ln>
          <a:noFill/>
        </a:ln>
        <a:effectLst/>
      </c:spPr>
    </c:plotArea>
    <c:legend>
      <c:legendPos val="b"/>
      <c:layout>
        <c:manualLayout>
          <c:xMode val="edge"/>
          <c:yMode val="edge"/>
          <c:x val="0"/>
          <c:y val="0.77366502068597354"/>
          <c:w val="0.99912395056578196"/>
          <c:h val="0.22416815694648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a:t>
            </a:r>
            <a:r>
              <a:rPr lang="en-US" baseline="0"/>
              <a:t> </a:t>
            </a:r>
            <a:r>
              <a:rPr lang="en-US"/>
              <a:t>Both measures</a:t>
            </a:r>
          </a:p>
        </c:rich>
      </c:tx>
      <c:layout>
        <c:manualLayout>
          <c:xMode val="edge"/>
          <c:yMode val="edge"/>
          <c:x val="0.32009887021914341"/>
          <c:y val="1.91387559808612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381121228370973"/>
          <c:y val="0.12833910034602075"/>
          <c:w val="0.76271054037828256"/>
          <c:h val="0.55072419148298501"/>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AB6F-44A6-A0C4-5DC87949DEB8}"/>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-212500</c:v>
                </c:pt>
                <c:pt idx="1">
                  <c:v>-195336.53846153847</c:v>
                </c:pt>
                <c:pt idx="2">
                  <c:v>-178503.14349112427</c:v>
                </c:pt>
                <c:pt idx="3">
                  <c:v>-161993.4676547565</c:v>
                </c:pt>
                <c:pt idx="4">
                  <c:v>-145801.28558447273</c:v>
                </c:pt>
                <c:pt idx="5">
                  <c:v>-129920.49163092519</c:v>
                </c:pt>
                <c:pt idx="6">
                  <c:v>-114345.09756109971</c:v>
                </c:pt>
                <c:pt idx="7">
                  <c:v>-99069.23030030934</c:v>
                </c:pt>
                <c:pt idx="8">
                  <c:v>-84087.129717611097</c:v>
                </c:pt>
                <c:pt idx="9">
                  <c:v>-69393.146453810885</c:v>
                </c:pt>
                <c:pt idx="10">
                  <c:v>-54981.739791237604</c:v>
                </c:pt>
                <c:pt idx="11">
                  <c:v>-40847.475564483044</c:v>
                </c:pt>
                <c:pt idx="12">
                  <c:v>-27043.880768763604</c:v>
                </c:pt>
                <c:pt idx="13">
                  <c:v>-13771.19346518722</c:v>
                </c:pt>
                <c:pt idx="14">
                  <c:v>-1008.9941348253124</c:v>
                </c:pt>
                <c:pt idx="15">
                  <c:v>11262.351375138061</c:v>
                </c:pt>
                <c:pt idx="16">
                  <c:v>23061.722057795148</c:v>
                </c:pt>
                <c:pt idx="17">
                  <c:v>34407.27079111927</c:v>
                </c:pt>
                <c:pt idx="18">
                  <c:v>45316.452265469386</c:v>
                </c:pt>
                <c:pt idx="19">
                  <c:v>55806.049836959879</c:v>
                </c:pt>
                <c:pt idx="20">
                  <c:v>65892.201348008428</c:v>
                </c:pt>
              </c:numCache>
            </c:numRef>
          </c:val>
          <c:smooth val="0"/>
          <c:extLst>
            <c:ext xmlns:c16="http://schemas.microsoft.com/office/drawing/2014/chart" uri="{C3380CC4-5D6E-409C-BE32-E72D297353CC}">
              <c16:uniqueId val="{00000001-AB6F-44A6-A0C4-5DC87949DEB8}"/>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2-AB6F-44A6-A0C4-5DC87949DEB8}"/>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-212500</c:v>
                </c:pt>
                <c:pt idx="1">
                  <c:v>-195336.53846153847</c:v>
                </c:pt>
                <c:pt idx="2">
                  <c:v>-177820.82100591715</c:v>
                </c:pt>
                <c:pt idx="3">
                  <c:v>-159966.18257851616</c:v>
                </c:pt>
                <c:pt idx="4">
                  <c:v>-141785.63859890893</c:v>
                </c:pt>
                <c:pt idx="5">
                  <c:v>-123291.89171217155</c:v>
                </c:pt>
                <c:pt idx="6">
                  <c:v>-104497.33840452664</c:v>
                </c:pt>
                <c:pt idx="7">
                  <c:v>-85414.075485986847</c:v>
                </c:pt>
                <c:pt idx="8">
                  <c:v>-66053.906442611187</c:v>
                </c:pt>
                <c:pt idx="9">
                  <c:v>-46428.34766093683</c:v>
                </c:pt>
                <c:pt idx="10">
                  <c:v>-26548.634527098751</c:v>
                </c:pt>
                <c:pt idx="11">
                  <c:v>-6697.2184965246888</c:v>
                </c:pt>
                <c:pt idx="12">
                  <c:v>13010.163312473891</c:v>
                </c:pt>
                <c:pt idx="13">
                  <c:v>32573.094122076818</c:v>
                </c:pt>
                <c:pt idx="14">
                  <c:v>51991.230458952894</c:v>
                </c:pt>
                <c:pt idx="15">
                  <c:v>71264.298784139435</c:v>
                </c:pt>
                <c:pt idx="16">
                  <c:v>90392.092257837154</c:v>
                </c:pt>
                <c:pt idx="17">
                  <c:v>109374.4676338805</c:v>
                </c:pt>
                <c:pt idx="18">
                  <c:v>128211.34227884543</c:v>
                </c:pt>
                <c:pt idx="19">
                  <c:v>146902.69131095093</c:v>
                </c:pt>
                <c:pt idx="20">
                  <c:v>165448.54485409745</c:v>
                </c:pt>
              </c:numCache>
            </c:numRef>
          </c:val>
          <c:smooth val="0"/>
          <c:extLst>
            <c:ext xmlns:c16="http://schemas.microsoft.com/office/drawing/2014/chart" uri="{C3380CC4-5D6E-409C-BE32-E72D297353CC}">
              <c16:uniqueId val="{00000003-AB6F-44A6-A0C4-5DC87949DEB8}"/>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4-AB6F-44A6-A0C4-5DC87949DEB8}"/>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-212500</c:v>
                </c:pt>
                <c:pt idx="1">
                  <c:v>-195336.53846153847</c:v>
                </c:pt>
                <c:pt idx="2">
                  <c:v>-177138.49852071007</c:v>
                </c:pt>
                <c:pt idx="3">
                  <c:v>-157899.5327435139</c:v>
                </c:pt>
                <c:pt idx="4">
                  <c:v>-137612.91108559314</c:v>
                </c:pt>
                <c:pt idx="5">
                  <c:v>-116271.51854481125</c:v>
                </c:pt>
                <c:pt idx="6">
                  <c:v>-93867.852672330249</c:v>
                </c:pt>
                <c:pt idx="7">
                  <c:v>-70394.020941322902</c:v>
                </c:pt>
                <c:pt idx="8">
                  <c:v>-45841.737972398536</c:v>
                </c:pt>
                <c:pt idx="9">
                  <c:v>-20202.322614769033</c:v>
                </c:pt>
                <c:pt idx="10">
                  <c:v>6186.0126008747793</c:v>
                </c:pt>
                <c:pt idx="11">
                  <c:v>33179.25294116931</c:v>
                </c:pt>
                <c:pt idx="12">
                  <c:v>60785.28361467574</c:v>
                </c:pt>
                <c:pt idx="13">
                  <c:v>89012.2856063621</c:v>
                </c:pt>
                <c:pt idx="14">
                  <c:v>117868.73582185032</c:v>
                </c:pt>
                <c:pt idx="15">
                  <c:v>147363.40744765877</c:v>
                </c:pt>
                <c:pt idx="16">
                  <c:v>177505.37052339333</c:v>
                </c:pt>
                <c:pt idx="17">
                  <c:v>208303.99272207747</c:v>
                </c:pt>
                <c:pt idx="18">
                  <c:v>239768.94033504184</c:v>
                </c:pt>
                <c:pt idx="19">
                  <c:v>271910.17945801676</c:v>
                </c:pt>
                <c:pt idx="20">
                  <c:v>304737.97737528681</c:v>
                </c:pt>
              </c:numCache>
            </c:numRef>
          </c:val>
          <c:smooth val="0"/>
          <c:extLst>
            <c:ext xmlns:c16="http://schemas.microsoft.com/office/drawing/2014/chart" uri="{C3380CC4-5D6E-409C-BE32-E72D297353CC}">
              <c16:uniqueId val="{00000005-AB6F-44A6-A0C4-5DC87949DEB8}"/>
            </c:ext>
          </c:extLst>
        </c:ser>
        <c:dLbls>
          <c:showLegendKey val="0"/>
          <c:showVal val="0"/>
          <c:showCatName val="0"/>
          <c:showSerName val="0"/>
          <c:showPercent val="0"/>
          <c:showBubbleSize val="0"/>
        </c:dLbls>
        <c:smooth val="0"/>
        <c:axId val="459243744"/>
        <c:axId val="459246880"/>
      </c:lineChart>
      <c:catAx>
        <c:axId val="45924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6880"/>
        <c:crosses val="autoZero"/>
        <c:auto val="1"/>
        <c:lblAlgn val="ctr"/>
        <c:lblOffset val="100"/>
        <c:noMultiLvlLbl val="0"/>
      </c:catAx>
      <c:valAx>
        <c:axId val="4592468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3744"/>
        <c:crosses val="autoZero"/>
        <c:crossBetween val="between"/>
      </c:valAx>
      <c:spPr>
        <a:noFill/>
        <a:ln>
          <a:noFill/>
        </a:ln>
        <a:effectLst/>
      </c:spPr>
    </c:plotArea>
    <c:legend>
      <c:legendPos val="b"/>
      <c:layout>
        <c:manualLayout>
          <c:xMode val="edge"/>
          <c:yMode val="edge"/>
          <c:x val="1.3249505695588163E-2"/>
          <c:y val="0.67183651568107716"/>
          <c:w val="0.96559554150336391"/>
          <c:h val="0.30954440430672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22"/>
          <c:y val="2.42690979417046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40157480314962"/>
          <c:y val="0.12169575941561522"/>
          <c:w val="0.76623665192535872"/>
          <c:h val="0.46303587051618539"/>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3356-4565-B67D-A77210B89813}"/>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1-3356-4565-B67D-A77210B89813}"/>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2-3356-4565-B67D-A77210B89813}"/>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3-3356-4565-B67D-A77210B89813}"/>
            </c:ext>
          </c:extLst>
        </c:ser>
        <c:dLbls>
          <c:showLegendKey val="0"/>
          <c:showVal val="0"/>
          <c:showCatName val="0"/>
          <c:showSerName val="0"/>
          <c:showPercent val="0"/>
          <c:showBubbleSize val="0"/>
        </c:dLbls>
        <c:smooth val="0"/>
        <c:axId val="459245704"/>
        <c:axId val="459247272"/>
      </c:lineChart>
      <c:catAx>
        <c:axId val="4592457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805E-2"/>
              <c:y val="0.6035666375036453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7272"/>
        <c:crosses val="autoZero"/>
        <c:auto val="1"/>
        <c:lblAlgn val="ctr"/>
        <c:lblOffset val="100"/>
        <c:noMultiLvlLbl val="1"/>
      </c:catAx>
      <c:valAx>
        <c:axId val="459247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609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5704"/>
        <c:crosses val="autoZero"/>
        <c:crossBetween val="midCat"/>
      </c:valAx>
      <c:spPr>
        <a:noFill/>
        <a:ln>
          <a:noFill/>
        </a:ln>
        <a:effectLst/>
      </c:spPr>
    </c:plotArea>
    <c:legend>
      <c:legendPos val="b"/>
      <c:layout>
        <c:manualLayout>
          <c:xMode val="edge"/>
          <c:yMode val="edge"/>
          <c:x val="2.8451922961684689E-3"/>
          <c:y val="0.69189476315460574"/>
          <c:w val="0.99287671232876717"/>
          <c:h val="0.29138920134983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67790074076735"/>
          <c:y val="0.12655687316193906"/>
          <c:w val="0.7918012184695592"/>
          <c:h val="0.48621757148777445"/>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212500</c:v>
                </c:pt>
                <c:pt idx="1">
                  <c:v>212500</c:v>
                </c:pt>
                <c:pt idx="2">
                  <c:v>212500</c:v>
                </c:pt>
                <c:pt idx="3">
                  <c:v>212500</c:v>
                </c:pt>
                <c:pt idx="4">
                  <c:v>212500</c:v>
                </c:pt>
                <c:pt idx="5">
                  <c:v>212500</c:v>
                </c:pt>
                <c:pt idx="6">
                  <c:v>212500</c:v>
                </c:pt>
                <c:pt idx="7">
                  <c:v>212500</c:v>
                </c:pt>
                <c:pt idx="8">
                  <c:v>212500</c:v>
                </c:pt>
                <c:pt idx="9">
                  <c:v>212500</c:v>
                </c:pt>
                <c:pt idx="10">
                  <c:v>212500</c:v>
                </c:pt>
                <c:pt idx="11">
                  <c:v>212500</c:v>
                </c:pt>
                <c:pt idx="12">
                  <c:v>212500</c:v>
                </c:pt>
                <c:pt idx="13">
                  <c:v>212500</c:v>
                </c:pt>
                <c:pt idx="14">
                  <c:v>212500</c:v>
                </c:pt>
                <c:pt idx="15">
                  <c:v>212500</c:v>
                </c:pt>
                <c:pt idx="16">
                  <c:v>212500</c:v>
                </c:pt>
                <c:pt idx="17">
                  <c:v>212500</c:v>
                </c:pt>
                <c:pt idx="18">
                  <c:v>212500</c:v>
                </c:pt>
                <c:pt idx="19">
                  <c:v>212500</c:v>
                </c:pt>
                <c:pt idx="20">
                  <c:v>212500</c:v>
                </c:pt>
              </c:numCache>
            </c:numRef>
          </c:val>
          <c:smooth val="0"/>
          <c:extLst>
            <c:ext xmlns:c16="http://schemas.microsoft.com/office/drawing/2014/chart" uri="{C3380CC4-5D6E-409C-BE32-E72D297353CC}">
              <c16:uniqueId val="{00000000-C619-4FCF-BF07-E29A7C7D32F9}"/>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24600</c:v>
                </c:pt>
                <c:pt idx="2">
                  <c:v>49200</c:v>
                </c:pt>
                <c:pt idx="3">
                  <c:v>73800</c:v>
                </c:pt>
                <c:pt idx="4">
                  <c:v>98400</c:v>
                </c:pt>
                <c:pt idx="5">
                  <c:v>123000</c:v>
                </c:pt>
                <c:pt idx="6">
                  <c:v>147600</c:v>
                </c:pt>
                <c:pt idx="7">
                  <c:v>172200</c:v>
                </c:pt>
                <c:pt idx="8">
                  <c:v>196800</c:v>
                </c:pt>
                <c:pt idx="9">
                  <c:v>221400</c:v>
                </c:pt>
                <c:pt idx="10">
                  <c:v>246000</c:v>
                </c:pt>
                <c:pt idx="11">
                  <c:v>270600</c:v>
                </c:pt>
                <c:pt idx="12">
                  <c:v>295200</c:v>
                </c:pt>
                <c:pt idx="13">
                  <c:v>319800</c:v>
                </c:pt>
                <c:pt idx="14">
                  <c:v>344400</c:v>
                </c:pt>
                <c:pt idx="15">
                  <c:v>369000</c:v>
                </c:pt>
                <c:pt idx="16">
                  <c:v>393600</c:v>
                </c:pt>
                <c:pt idx="17">
                  <c:v>418200</c:v>
                </c:pt>
                <c:pt idx="18">
                  <c:v>442800</c:v>
                </c:pt>
                <c:pt idx="19">
                  <c:v>467400</c:v>
                </c:pt>
                <c:pt idx="20">
                  <c:v>492000</c:v>
                </c:pt>
              </c:numCache>
            </c:numRef>
          </c:val>
          <c:smooth val="0"/>
          <c:extLst>
            <c:ext xmlns:c16="http://schemas.microsoft.com/office/drawing/2014/chart" uri="{C3380CC4-5D6E-409C-BE32-E72D297353CC}">
              <c16:uniqueId val="{00000001-C619-4FCF-BF07-E29A7C7D32F9}"/>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24600</c:v>
                </c:pt>
                <c:pt idx="2">
                  <c:v>49938</c:v>
                </c:pt>
                <c:pt idx="3">
                  <c:v>76036.14</c:v>
                </c:pt>
                <c:pt idx="4">
                  <c:v>102917.2242</c:v>
                </c:pt>
                <c:pt idx="5">
                  <c:v>130604.740926</c:v>
                </c:pt>
                <c:pt idx="6">
                  <c:v>159122.88315378001</c:v>
                </c:pt>
                <c:pt idx="7">
                  <c:v>188496.56964839343</c:v>
                </c:pt>
                <c:pt idx="8">
                  <c:v>218751.46673784524</c:v>
                </c:pt>
                <c:pt idx="9">
                  <c:v>249914.01073998061</c:v>
                </c:pt>
                <c:pt idx="10">
                  <c:v>282011.43106218003</c:v>
                </c:pt>
                <c:pt idx="11">
                  <c:v>315071.77399404545</c:v>
                </c:pt>
                <c:pt idx="12">
                  <c:v>349123.92721386685</c:v>
                </c:pt>
                <c:pt idx="13">
                  <c:v>384197.64503028285</c:v>
                </c:pt>
                <c:pt idx="14">
                  <c:v>420323.57438119134</c:v>
                </c:pt>
                <c:pt idx="15">
                  <c:v>457533.28161262709</c:v>
                </c:pt>
                <c:pt idx="16">
                  <c:v>495859.28006100591</c:v>
                </c:pt>
                <c:pt idx="17">
                  <c:v>535335.05846283608</c:v>
                </c:pt>
                <c:pt idx="18">
                  <c:v>575995.11021672119</c:v>
                </c:pt>
                <c:pt idx="19">
                  <c:v>617874.96352322283</c:v>
                </c:pt>
                <c:pt idx="20">
                  <c:v>661011.21242891951</c:v>
                </c:pt>
              </c:numCache>
            </c:numRef>
          </c:val>
          <c:smooth val="0"/>
          <c:extLst>
            <c:ext xmlns:c16="http://schemas.microsoft.com/office/drawing/2014/chart" uri="{C3380CC4-5D6E-409C-BE32-E72D297353CC}">
              <c16:uniqueId val="{00000002-C619-4FCF-BF07-E29A7C7D32F9}"/>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24600</c:v>
                </c:pt>
                <c:pt idx="2">
                  <c:v>50676</c:v>
                </c:pt>
                <c:pt idx="3">
                  <c:v>78316.56</c:v>
                </c:pt>
                <c:pt idx="4">
                  <c:v>107615.5536</c:v>
                </c:pt>
                <c:pt idx="5">
                  <c:v>138672.48681599999</c:v>
                </c:pt>
                <c:pt idx="6">
                  <c:v>171592.83602495998</c:v>
                </c:pt>
                <c:pt idx="7">
                  <c:v>206488.40618645761</c:v>
                </c:pt>
                <c:pt idx="8">
                  <c:v>243477.71055764507</c:v>
                </c:pt>
                <c:pt idx="9">
                  <c:v>282686.3731911038</c:v>
                </c:pt>
                <c:pt idx="10">
                  <c:v>324247.55558257003</c:v>
                </c:pt>
                <c:pt idx="11">
                  <c:v>368302.40891752427</c:v>
                </c:pt>
                <c:pt idx="12">
                  <c:v>415000.55345257575</c:v>
                </c:pt>
                <c:pt idx="13">
                  <c:v>464500.5866597303</c:v>
                </c:pt>
                <c:pt idx="14">
                  <c:v>516970.62185931415</c:v>
                </c:pt>
                <c:pt idx="15">
                  <c:v>572588.85917087307</c:v>
                </c:pt>
                <c:pt idx="16">
                  <c:v>631544.19072112546</c:v>
                </c:pt>
                <c:pt idx="17">
                  <c:v>694036.84216439305</c:v>
                </c:pt>
                <c:pt idx="18">
                  <c:v>760279.05269425665</c:v>
                </c:pt>
                <c:pt idx="19">
                  <c:v>830495.79585591203</c:v>
                </c:pt>
                <c:pt idx="20">
                  <c:v>904925.54360726674</c:v>
                </c:pt>
              </c:numCache>
            </c:numRef>
          </c:val>
          <c:smooth val="0"/>
          <c:extLst>
            <c:ext xmlns:c16="http://schemas.microsoft.com/office/drawing/2014/chart" uri="{C3380CC4-5D6E-409C-BE32-E72D297353CC}">
              <c16:uniqueId val="{00000003-C619-4FCF-BF07-E29A7C7D32F9}"/>
            </c:ext>
          </c:extLst>
        </c:ser>
        <c:dLbls>
          <c:showLegendKey val="0"/>
          <c:showVal val="0"/>
          <c:showCatName val="0"/>
          <c:showSerName val="0"/>
          <c:showPercent val="0"/>
          <c:showBubbleSize val="0"/>
        </c:dLbls>
        <c:smooth val="0"/>
        <c:axId val="459244136"/>
        <c:axId val="459246096"/>
      </c:lineChart>
      <c:catAx>
        <c:axId val="4592441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712E-2"/>
              <c:y val="0.6410512411438765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6096"/>
        <c:crosses val="autoZero"/>
        <c:auto val="1"/>
        <c:lblAlgn val="ctr"/>
        <c:lblOffset val="100"/>
        <c:noMultiLvlLbl val="0"/>
      </c:catAx>
      <c:valAx>
        <c:axId val="45924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4"/>
              <c:y val="3.223592333977117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4136"/>
        <c:crosses val="autoZero"/>
        <c:crossBetween val="between"/>
      </c:valAx>
      <c:spPr>
        <a:noFill/>
        <a:ln>
          <a:noFill/>
        </a:ln>
        <a:effectLst/>
      </c:spPr>
    </c:plotArea>
    <c:legend>
      <c:legendPos val="b"/>
      <c:layout>
        <c:manualLayout>
          <c:xMode val="edge"/>
          <c:yMode val="edge"/>
          <c:x val="4.1064456920105923E-3"/>
          <c:y val="0.71239077416207919"/>
          <c:w val="0.99061503416856489"/>
          <c:h val="0.28758375791261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a:t>
            </a:r>
            <a:r>
              <a:rPr lang="en-US" baseline="0"/>
              <a:t> </a:t>
            </a:r>
            <a:r>
              <a:rPr lang="en-US"/>
              <a:t>Both measures</a:t>
            </a:r>
          </a:p>
        </c:rich>
      </c:tx>
      <c:layout>
        <c:manualLayout>
          <c:xMode val="edge"/>
          <c:yMode val="edge"/>
          <c:x val="0.36100000000000004"/>
          <c:y val="1.3880853457534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32770831112263"/>
          <c:y val="5.7141207262637418E-2"/>
          <c:w val="0.81497440944881894"/>
          <c:h val="0.45497102144136453"/>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6F54-49B1-8F9B-9567CCBC7F2C}"/>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212500</c:v>
                </c:pt>
                <c:pt idx="1">
                  <c:v>212500</c:v>
                </c:pt>
                <c:pt idx="2">
                  <c:v>212500</c:v>
                </c:pt>
                <c:pt idx="3">
                  <c:v>212500</c:v>
                </c:pt>
                <c:pt idx="4">
                  <c:v>212500</c:v>
                </c:pt>
                <c:pt idx="5">
                  <c:v>212500</c:v>
                </c:pt>
                <c:pt idx="6">
                  <c:v>212500</c:v>
                </c:pt>
                <c:pt idx="7">
                  <c:v>212500</c:v>
                </c:pt>
                <c:pt idx="8">
                  <c:v>212500</c:v>
                </c:pt>
                <c:pt idx="9">
                  <c:v>212500</c:v>
                </c:pt>
                <c:pt idx="10">
                  <c:v>212500</c:v>
                </c:pt>
                <c:pt idx="11">
                  <c:v>212500</c:v>
                </c:pt>
                <c:pt idx="12">
                  <c:v>212500</c:v>
                </c:pt>
                <c:pt idx="13">
                  <c:v>212500</c:v>
                </c:pt>
                <c:pt idx="14">
                  <c:v>212500</c:v>
                </c:pt>
                <c:pt idx="15">
                  <c:v>212500</c:v>
                </c:pt>
                <c:pt idx="16">
                  <c:v>212500</c:v>
                </c:pt>
                <c:pt idx="17">
                  <c:v>212500</c:v>
                </c:pt>
                <c:pt idx="18">
                  <c:v>212500</c:v>
                </c:pt>
                <c:pt idx="19">
                  <c:v>212500</c:v>
                </c:pt>
                <c:pt idx="20">
                  <c:v>212500</c:v>
                </c:pt>
              </c:numCache>
            </c:numRef>
          </c:val>
          <c:smooth val="0"/>
          <c:extLst>
            <c:ext xmlns:c16="http://schemas.microsoft.com/office/drawing/2014/chart" uri="{C3380CC4-5D6E-409C-BE32-E72D297353CC}">
              <c16:uniqueId val="{00000001-6F54-49B1-8F9B-9567CCBC7F2C}"/>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2-6F54-49B1-8F9B-9567CCBC7F2C}"/>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24600</c:v>
                </c:pt>
                <c:pt idx="2">
                  <c:v>49200</c:v>
                </c:pt>
                <c:pt idx="3">
                  <c:v>73800</c:v>
                </c:pt>
                <c:pt idx="4">
                  <c:v>98400</c:v>
                </c:pt>
                <c:pt idx="5">
                  <c:v>123000</c:v>
                </c:pt>
                <c:pt idx="6">
                  <c:v>147600</c:v>
                </c:pt>
                <c:pt idx="7">
                  <c:v>172200</c:v>
                </c:pt>
                <c:pt idx="8">
                  <c:v>196800</c:v>
                </c:pt>
                <c:pt idx="9">
                  <c:v>221400</c:v>
                </c:pt>
                <c:pt idx="10">
                  <c:v>246000</c:v>
                </c:pt>
                <c:pt idx="11">
                  <c:v>270600</c:v>
                </c:pt>
                <c:pt idx="12">
                  <c:v>295200</c:v>
                </c:pt>
                <c:pt idx="13">
                  <c:v>319800</c:v>
                </c:pt>
                <c:pt idx="14">
                  <c:v>344400</c:v>
                </c:pt>
                <c:pt idx="15">
                  <c:v>369000</c:v>
                </c:pt>
                <c:pt idx="16">
                  <c:v>393600</c:v>
                </c:pt>
                <c:pt idx="17">
                  <c:v>418200</c:v>
                </c:pt>
                <c:pt idx="18">
                  <c:v>442800</c:v>
                </c:pt>
                <c:pt idx="19">
                  <c:v>467400</c:v>
                </c:pt>
                <c:pt idx="20">
                  <c:v>492000</c:v>
                </c:pt>
              </c:numCache>
            </c:numRef>
          </c:val>
          <c:smooth val="0"/>
          <c:extLst>
            <c:ext xmlns:c16="http://schemas.microsoft.com/office/drawing/2014/chart" uri="{C3380CC4-5D6E-409C-BE32-E72D297353CC}">
              <c16:uniqueId val="{00000003-6F54-49B1-8F9B-9567CCBC7F2C}"/>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4-6F54-49B1-8F9B-9567CCBC7F2C}"/>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24600</c:v>
                </c:pt>
                <c:pt idx="2">
                  <c:v>49938</c:v>
                </c:pt>
                <c:pt idx="3">
                  <c:v>76036.14</c:v>
                </c:pt>
                <c:pt idx="4">
                  <c:v>102917.2242</c:v>
                </c:pt>
                <c:pt idx="5">
                  <c:v>130604.740926</c:v>
                </c:pt>
                <c:pt idx="6">
                  <c:v>159122.88315378001</c:v>
                </c:pt>
                <c:pt idx="7">
                  <c:v>188496.56964839343</c:v>
                </c:pt>
                <c:pt idx="8">
                  <c:v>218751.46673784524</c:v>
                </c:pt>
                <c:pt idx="9">
                  <c:v>249914.01073998061</c:v>
                </c:pt>
                <c:pt idx="10">
                  <c:v>282011.43106218003</c:v>
                </c:pt>
                <c:pt idx="11">
                  <c:v>315071.77399404545</c:v>
                </c:pt>
                <c:pt idx="12">
                  <c:v>349123.92721386685</c:v>
                </c:pt>
                <c:pt idx="13">
                  <c:v>384197.64503028285</c:v>
                </c:pt>
                <c:pt idx="14">
                  <c:v>420323.57438119134</c:v>
                </c:pt>
                <c:pt idx="15">
                  <c:v>457533.28161262709</c:v>
                </c:pt>
                <c:pt idx="16">
                  <c:v>495859.28006100591</c:v>
                </c:pt>
                <c:pt idx="17">
                  <c:v>535335.05846283608</c:v>
                </c:pt>
                <c:pt idx="18">
                  <c:v>575995.11021672119</c:v>
                </c:pt>
                <c:pt idx="19">
                  <c:v>617874.96352322283</c:v>
                </c:pt>
                <c:pt idx="20">
                  <c:v>661011.21242891951</c:v>
                </c:pt>
              </c:numCache>
            </c:numRef>
          </c:val>
          <c:smooth val="0"/>
          <c:extLst>
            <c:ext xmlns:c16="http://schemas.microsoft.com/office/drawing/2014/chart" uri="{C3380CC4-5D6E-409C-BE32-E72D297353CC}">
              <c16:uniqueId val="{00000005-6F54-49B1-8F9B-9567CCBC7F2C}"/>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6-6F54-49B1-8F9B-9567CCBC7F2C}"/>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24600</c:v>
                </c:pt>
                <c:pt idx="2">
                  <c:v>50676</c:v>
                </c:pt>
                <c:pt idx="3">
                  <c:v>78316.56</c:v>
                </c:pt>
                <c:pt idx="4">
                  <c:v>107615.5536</c:v>
                </c:pt>
                <c:pt idx="5">
                  <c:v>138672.48681599999</c:v>
                </c:pt>
                <c:pt idx="6">
                  <c:v>171592.83602495998</c:v>
                </c:pt>
                <c:pt idx="7">
                  <c:v>206488.40618645761</c:v>
                </c:pt>
                <c:pt idx="8">
                  <c:v>243477.71055764507</c:v>
                </c:pt>
                <c:pt idx="9">
                  <c:v>282686.3731911038</c:v>
                </c:pt>
                <c:pt idx="10">
                  <c:v>324247.55558257003</c:v>
                </c:pt>
                <c:pt idx="11">
                  <c:v>368302.40891752427</c:v>
                </c:pt>
                <c:pt idx="12">
                  <c:v>415000.55345257575</c:v>
                </c:pt>
                <c:pt idx="13">
                  <c:v>464500.5866597303</c:v>
                </c:pt>
                <c:pt idx="14">
                  <c:v>516970.62185931415</c:v>
                </c:pt>
                <c:pt idx="15">
                  <c:v>572588.85917087307</c:v>
                </c:pt>
                <c:pt idx="16">
                  <c:v>631544.19072112546</c:v>
                </c:pt>
                <c:pt idx="17">
                  <c:v>694036.84216439305</c:v>
                </c:pt>
                <c:pt idx="18">
                  <c:v>760279.05269425665</c:v>
                </c:pt>
                <c:pt idx="19">
                  <c:v>830495.79585591203</c:v>
                </c:pt>
                <c:pt idx="20">
                  <c:v>904925.54360726674</c:v>
                </c:pt>
              </c:numCache>
            </c:numRef>
          </c:val>
          <c:smooth val="0"/>
          <c:extLst>
            <c:ext xmlns:c16="http://schemas.microsoft.com/office/drawing/2014/chart" uri="{C3380CC4-5D6E-409C-BE32-E72D297353CC}">
              <c16:uniqueId val="{00000007-6F54-49B1-8F9B-9567CCBC7F2C}"/>
            </c:ext>
          </c:extLst>
        </c:ser>
        <c:dLbls>
          <c:showLegendKey val="0"/>
          <c:showVal val="0"/>
          <c:showCatName val="0"/>
          <c:showSerName val="0"/>
          <c:showPercent val="0"/>
          <c:showBubbleSize val="0"/>
        </c:dLbls>
        <c:smooth val="0"/>
        <c:axId val="459248840"/>
        <c:axId val="460054720"/>
      </c:lineChart>
      <c:catAx>
        <c:axId val="459248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4720"/>
        <c:crosses val="autoZero"/>
        <c:auto val="1"/>
        <c:lblAlgn val="ctr"/>
        <c:lblOffset val="100"/>
        <c:noMultiLvlLbl val="0"/>
      </c:catAx>
      <c:valAx>
        <c:axId val="46005472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48840"/>
        <c:crosses val="autoZero"/>
        <c:crossBetween val="between"/>
      </c:valAx>
      <c:spPr>
        <a:noFill/>
        <a:ln>
          <a:noFill/>
        </a:ln>
        <a:effectLst/>
      </c:spPr>
    </c:plotArea>
    <c:legend>
      <c:legendPos val="b"/>
      <c:layout>
        <c:manualLayout>
          <c:xMode val="edge"/>
          <c:yMode val="edge"/>
          <c:x val="5.9164973329946663E-2"/>
          <c:y val="0.56980775928778471"/>
          <c:w val="0.86150876301752599"/>
          <c:h val="0.42932203527635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88885941324716"/>
          <c:y val="0.17171296296296298"/>
          <c:w val="0.80554605636010657"/>
          <c:h val="0.60106408573928261"/>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37CE-45C1-ABAF-3F39EA39F388}"/>
            </c:ext>
          </c:extLst>
        </c:ser>
        <c:dLbls>
          <c:showLegendKey val="0"/>
          <c:showVal val="0"/>
          <c:showCatName val="0"/>
          <c:showSerName val="0"/>
          <c:showPercent val="0"/>
          <c:showBubbleSize val="0"/>
        </c:dLbls>
        <c:smooth val="0"/>
        <c:axId val="460060208"/>
        <c:axId val="460055896"/>
      </c:lineChart>
      <c:catAx>
        <c:axId val="460060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5896"/>
        <c:crosses val="autoZero"/>
        <c:auto val="1"/>
        <c:lblAlgn val="ctr"/>
        <c:lblOffset val="100"/>
        <c:noMultiLvlLbl val="1"/>
      </c:catAx>
      <c:valAx>
        <c:axId val="460055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60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18"/>
          <c:y val="2.966101694915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75518969219757"/>
          <c:y val="0.1613983050847458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-46</c:v>
                </c:pt>
                <c:pt idx="2">
                  <c:v>-92</c:v>
                </c:pt>
                <c:pt idx="3">
                  <c:v>-138</c:v>
                </c:pt>
                <c:pt idx="4">
                  <c:v>-184</c:v>
                </c:pt>
                <c:pt idx="5">
                  <c:v>-230</c:v>
                </c:pt>
                <c:pt idx="6">
                  <c:v>-276</c:v>
                </c:pt>
                <c:pt idx="7">
                  <c:v>-322</c:v>
                </c:pt>
                <c:pt idx="8">
                  <c:v>-368</c:v>
                </c:pt>
                <c:pt idx="9">
                  <c:v>-414</c:v>
                </c:pt>
                <c:pt idx="10">
                  <c:v>-460</c:v>
                </c:pt>
                <c:pt idx="11">
                  <c:v>-506</c:v>
                </c:pt>
                <c:pt idx="12">
                  <c:v>-552</c:v>
                </c:pt>
                <c:pt idx="13">
                  <c:v>-598</c:v>
                </c:pt>
                <c:pt idx="14">
                  <c:v>-644</c:v>
                </c:pt>
                <c:pt idx="15">
                  <c:v>-690</c:v>
                </c:pt>
                <c:pt idx="16">
                  <c:v>-736</c:v>
                </c:pt>
                <c:pt idx="17">
                  <c:v>-782</c:v>
                </c:pt>
                <c:pt idx="18">
                  <c:v>-828</c:v>
                </c:pt>
                <c:pt idx="19">
                  <c:v>-874</c:v>
                </c:pt>
                <c:pt idx="20">
                  <c:v>-920</c:v>
                </c:pt>
              </c:numCache>
            </c:numRef>
          </c:val>
          <c:smooth val="0"/>
          <c:extLst>
            <c:ext xmlns:c16="http://schemas.microsoft.com/office/drawing/2014/chart" uri="{C3380CC4-5D6E-409C-BE32-E72D297353CC}">
              <c16:uniqueId val="{00000000-ABC0-4FD2-98BC-4FB4A0DDC814}"/>
            </c:ext>
          </c:extLst>
        </c:ser>
        <c:dLbls>
          <c:showLegendKey val="0"/>
          <c:showVal val="0"/>
          <c:showCatName val="0"/>
          <c:showSerName val="0"/>
          <c:showPercent val="0"/>
          <c:showBubbleSize val="0"/>
        </c:dLbls>
        <c:smooth val="0"/>
        <c:axId val="460060600"/>
        <c:axId val="460059424"/>
      </c:lineChart>
      <c:catAx>
        <c:axId val="4600606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9424"/>
        <c:crosses val="autoZero"/>
        <c:auto val="1"/>
        <c:lblAlgn val="ctr"/>
        <c:lblOffset val="100"/>
        <c:noMultiLvlLbl val="0"/>
      </c:catAx>
      <c:valAx>
        <c:axId val="46005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60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4BD3-4927-B1E8-8859F6314780}"/>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-46</c:v>
                </c:pt>
                <c:pt idx="2">
                  <c:v>-92</c:v>
                </c:pt>
                <c:pt idx="3">
                  <c:v>-138</c:v>
                </c:pt>
                <c:pt idx="4">
                  <c:v>-184</c:v>
                </c:pt>
                <c:pt idx="5">
                  <c:v>-230</c:v>
                </c:pt>
                <c:pt idx="6">
                  <c:v>-276</c:v>
                </c:pt>
                <c:pt idx="7">
                  <c:v>-322</c:v>
                </c:pt>
                <c:pt idx="8">
                  <c:v>-368</c:v>
                </c:pt>
                <c:pt idx="9">
                  <c:v>-414</c:v>
                </c:pt>
                <c:pt idx="10">
                  <c:v>-460</c:v>
                </c:pt>
                <c:pt idx="11">
                  <c:v>-506</c:v>
                </c:pt>
                <c:pt idx="12">
                  <c:v>-552</c:v>
                </c:pt>
                <c:pt idx="13">
                  <c:v>-598</c:v>
                </c:pt>
                <c:pt idx="14">
                  <c:v>-644</c:v>
                </c:pt>
                <c:pt idx="15">
                  <c:v>-690</c:v>
                </c:pt>
                <c:pt idx="16">
                  <c:v>-736</c:v>
                </c:pt>
                <c:pt idx="17">
                  <c:v>-782</c:v>
                </c:pt>
                <c:pt idx="18">
                  <c:v>-828</c:v>
                </c:pt>
                <c:pt idx="19">
                  <c:v>-874</c:v>
                </c:pt>
                <c:pt idx="20">
                  <c:v>-920</c:v>
                </c:pt>
              </c:numCache>
            </c:numRef>
          </c:val>
          <c:smooth val="0"/>
          <c:extLst>
            <c:ext xmlns:c16="http://schemas.microsoft.com/office/drawing/2014/chart" uri="{C3380CC4-5D6E-409C-BE32-E72D297353CC}">
              <c16:uniqueId val="{00000001-4BD3-4927-B1E8-8859F6314780}"/>
            </c:ext>
          </c:extLst>
        </c:ser>
        <c:dLbls>
          <c:showLegendKey val="0"/>
          <c:showVal val="0"/>
          <c:showCatName val="0"/>
          <c:showSerName val="0"/>
          <c:showPercent val="0"/>
          <c:showBubbleSize val="0"/>
        </c:dLbls>
        <c:smooth val="0"/>
        <c:axId val="460055112"/>
        <c:axId val="460057464"/>
      </c:lineChart>
      <c:catAx>
        <c:axId val="46005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7464"/>
        <c:crosses val="autoZero"/>
        <c:auto val="1"/>
        <c:lblAlgn val="ctr"/>
        <c:lblOffset val="100"/>
        <c:noMultiLvlLbl val="0"/>
      </c:catAx>
      <c:valAx>
        <c:axId val="460057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5112"/>
        <c:crosses val="autoZero"/>
        <c:crossBetween val="between"/>
      </c:valAx>
      <c:spPr>
        <a:noFill/>
        <a:ln>
          <a:noFill/>
        </a:ln>
        <a:effectLst/>
      </c:spPr>
    </c:plotArea>
    <c:legend>
      <c:legendPos val="b"/>
      <c:layout>
        <c:manualLayout>
          <c:xMode val="edge"/>
          <c:yMode val="edge"/>
          <c:x val="0.24018609528593807"/>
          <c:y val="0.91940108837746637"/>
          <c:w val="0.5196275042338081"/>
          <c:h val="6.51548961785182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66"/>
          <c:y val="1.54838646750867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71223288869713"/>
          <c:y val="7.3373601180113671E-2"/>
          <c:w val="0.78543764523625093"/>
          <c:h val="0.72126981787141553"/>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7AFB-46E1-B150-36F0B407AD79}"/>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1-7AFB-46E1-B150-36F0B407AD79}"/>
            </c:ext>
          </c:extLst>
        </c:ser>
        <c:ser>
          <c:idx val="2"/>
          <c:order val="2"/>
          <c:tx>
            <c:strRef>
              <c:f>'4. Cash flow '!$J$9</c:f>
              <c:strCache>
                <c:ptCount val="1"/>
                <c:pt idx="0">
                  <c:v>Cashflow_1 Option 2. Energy/water prices change</c:v>
                </c:pt>
              </c:strCache>
            </c:strRef>
          </c:tx>
          <c:spPr>
            <a:ln w="28575" cap="rnd">
              <a:solidFill>
                <a:schemeClr val="accent3">
                  <a:lumMod val="75000"/>
                </a:schemeClr>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2-7AFB-46E1-B150-36F0B407AD79}"/>
            </c:ext>
          </c:extLst>
        </c:ser>
        <c:dLbls>
          <c:showLegendKey val="0"/>
          <c:showVal val="0"/>
          <c:showCatName val="0"/>
          <c:showSerName val="0"/>
          <c:showPercent val="0"/>
          <c:showBubbleSize val="0"/>
        </c:dLbls>
        <c:smooth val="0"/>
        <c:axId val="460057856"/>
        <c:axId val="460060992"/>
      </c:lineChart>
      <c:catAx>
        <c:axId val="4600578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541"/>
              <c:y val="0.735898263974742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30" b="0" i="0" u="none" strike="noStrike" kern="1200" spc="-100" baseline="0">
                <a:solidFill>
                  <a:schemeClr val="tx1">
                    <a:lumMod val="65000"/>
                    <a:lumOff val="35000"/>
                  </a:schemeClr>
                </a:solidFill>
                <a:latin typeface="+mn-lt"/>
                <a:ea typeface="+mn-ea"/>
                <a:cs typeface="+mn-cs"/>
              </a:defRPr>
            </a:pPr>
            <a:endParaRPr lang="en-US"/>
          </a:p>
        </c:txPr>
        <c:crossAx val="460060992"/>
        <c:crosses val="autoZero"/>
        <c:auto val="1"/>
        <c:lblAlgn val="ctr"/>
        <c:lblOffset val="100"/>
        <c:noMultiLvlLbl val="1"/>
      </c:catAx>
      <c:valAx>
        <c:axId val="46006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73E-3"/>
              <c:y val="3.9149295480884541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7856"/>
        <c:crosses val="autoZero"/>
        <c:crossBetween val="between"/>
      </c:valAx>
      <c:spPr>
        <a:noFill/>
        <a:ln>
          <a:noFill/>
        </a:ln>
        <a:effectLst/>
      </c:spPr>
    </c:plotArea>
    <c:legend>
      <c:legendPos val="b"/>
      <c:layout>
        <c:manualLayout>
          <c:xMode val="edge"/>
          <c:yMode val="edge"/>
          <c:x val="5.7361665408262333E-2"/>
          <c:y val="0.82213421946109944"/>
          <c:w val="0.88479967401335102"/>
          <c:h val="0.148836234920176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0036332356851"/>
          <c:y val="0.14849902534113063"/>
          <c:w val="0.79968575900594296"/>
          <c:h val="0.68777710349478249"/>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-212500</c:v>
                </c:pt>
                <c:pt idx="1">
                  <c:v>-194650</c:v>
                </c:pt>
                <c:pt idx="2">
                  <c:v>-176443</c:v>
                </c:pt>
                <c:pt idx="3">
                  <c:v>-157871.85999999999</c:v>
                </c:pt>
                <c:pt idx="4">
                  <c:v>-138929.29719999997</c:v>
                </c:pt>
                <c:pt idx="5">
                  <c:v>-119607.88314399998</c:v>
                </c:pt>
                <c:pt idx="6">
                  <c:v>-99900.040806879973</c:v>
                </c:pt>
                <c:pt idx="7">
                  <c:v>-79798.041623017576</c:v>
                </c:pt>
                <c:pt idx="8">
                  <c:v>-59294.00245547793</c:v>
                </c:pt>
                <c:pt idx="9">
                  <c:v>-38379.882504587491</c:v>
                </c:pt>
                <c:pt idx="10">
                  <c:v>-17047.480154679241</c:v>
                </c:pt>
                <c:pt idx="11">
                  <c:v>4711.5702422271743</c:v>
                </c:pt>
                <c:pt idx="12">
                  <c:v>26811.570242227175</c:v>
                </c:pt>
                <c:pt idx="13">
                  <c:v>48911.570242227172</c:v>
                </c:pt>
                <c:pt idx="14">
                  <c:v>71011.570242227172</c:v>
                </c:pt>
                <c:pt idx="15">
                  <c:v>93111.570242227172</c:v>
                </c:pt>
                <c:pt idx="16">
                  <c:v>115211.57024222717</c:v>
                </c:pt>
                <c:pt idx="17">
                  <c:v>137311.57024222717</c:v>
                </c:pt>
                <c:pt idx="18">
                  <c:v>159411.57024222717</c:v>
                </c:pt>
                <c:pt idx="19">
                  <c:v>181511.57024222717</c:v>
                </c:pt>
                <c:pt idx="20">
                  <c:v>203611.57024222717</c:v>
                </c:pt>
              </c:numCache>
            </c:numRef>
          </c:val>
          <c:smooth val="0"/>
          <c:extLst>
            <c:ext xmlns:c16="http://schemas.microsoft.com/office/drawing/2014/chart" uri="{C3380CC4-5D6E-409C-BE32-E72D297353CC}">
              <c16:uniqueId val="{00000000-81E9-4F4C-A384-A0BEA2F1EBEB}"/>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-212500</c:v>
                </c:pt>
                <c:pt idx="1">
                  <c:v>-194650</c:v>
                </c:pt>
                <c:pt idx="2">
                  <c:v>-175705</c:v>
                </c:pt>
                <c:pt idx="3">
                  <c:v>-155620.96</c:v>
                </c:pt>
                <c:pt idx="4">
                  <c:v>-134352.29499999998</c:v>
                </c:pt>
                <c:pt idx="5">
                  <c:v>-111851.82417399998</c:v>
                </c:pt>
                <c:pt idx="6">
                  <c:v>-88070.718429699962</c:v>
                </c:pt>
                <c:pt idx="7">
                  <c:v>-62958.446303680546</c:v>
                </c:pt>
                <c:pt idx="8">
                  <c:v>-36462.718140302342</c:v>
                </c:pt>
                <c:pt idx="9">
                  <c:v>-8529.4285009730174</c:v>
                </c:pt>
                <c:pt idx="10">
                  <c:v>20897.403251206953</c:v>
                </c:pt>
                <c:pt idx="11">
                  <c:v>51457.746183072355</c:v>
                </c:pt>
                <c:pt idx="12">
                  <c:v>83009.899402893716</c:v>
                </c:pt>
                <c:pt idx="13">
                  <c:v>115583.61721930972</c:v>
                </c:pt>
                <c:pt idx="14">
                  <c:v>149209.54657021823</c:v>
                </c:pt>
                <c:pt idx="15">
                  <c:v>183919.25380165398</c:v>
                </c:pt>
                <c:pt idx="16">
                  <c:v>219745.25225003279</c:v>
                </c:pt>
                <c:pt idx="17">
                  <c:v>256721.03065186297</c:v>
                </c:pt>
                <c:pt idx="18">
                  <c:v>294881.08240574808</c:v>
                </c:pt>
                <c:pt idx="19">
                  <c:v>334260.93571224972</c:v>
                </c:pt>
                <c:pt idx="20">
                  <c:v>374897.18461794639</c:v>
                </c:pt>
              </c:numCache>
            </c:numRef>
          </c:val>
          <c:smooth val="0"/>
          <c:extLst>
            <c:ext xmlns:c16="http://schemas.microsoft.com/office/drawing/2014/chart" uri="{C3380CC4-5D6E-409C-BE32-E72D297353CC}">
              <c16:uniqueId val="{00000001-81E9-4F4C-A384-A0BEA2F1EBEB}"/>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-212500</c:v>
                </c:pt>
                <c:pt idx="1">
                  <c:v>-194650</c:v>
                </c:pt>
                <c:pt idx="2">
                  <c:v>-174967</c:v>
                </c:pt>
                <c:pt idx="3">
                  <c:v>-153325.78</c:v>
                </c:pt>
                <c:pt idx="4">
                  <c:v>-129593.302</c:v>
                </c:pt>
                <c:pt idx="5">
                  <c:v>-103628.234824</c:v>
                </c:pt>
                <c:pt idx="6">
                  <c:v>-75280.450311519991</c:v>
                </c:pt>
                <c:pt idx="7">
                  <c:v>-44390.489156252777</c:v>
                </c:pt>
                <c:pt idx="8">
                  <c:v>-10788.99456819037</c:v>
                </c:pt>
                <c:pt idx="9">
                  <c:v>25703.888173904539</c:v>
                </c:pt>
                <c:pt idx="10">
                  <c:v>64765.070565370785</c:v>
                </c:pt>
                <c:pt idx="11">
                  <c:v>106319.923900325</c:v>
                </c:pt>
                <c:pt idx="12">
                  <c:v>150518.06843537648</c:v>
                </c:pt>
                <c:pt idx="13">
                  <c:v>197518.10164253105</c:v>
                </c:pt>
                <c:pt idx="14">
                  <c:v>247488.13684211488</c:v>
                </c:pt>
                <c:pt idx="15">
                  <c:v>300606.37415367371</c:v>
                </c:pt>
                <c:pt idx="16">
                  <c:v>357061.7057039261</c:v>
                </c:pt>
                <c:pt idx="17">
                  <c:v>417054.35714719363</c:v>
                </c:pt>
                <c:pt idx="18">
                  <c:v>480796.56767705723</c:v>
                </c:pt>
                <c:pt idx="19">
                  <c:v>548513.31083871261</c:v>
                </c:pt>
                <c:pt idx="20">
                  <c:v>620443.05859006732</c:v>
                </c:pt>
              </c:numCache>
            </c:numRef>
          </c:val>
          <c:smooth val="0"/>
          <c:extLst>
            <c:ext xmlns:c16="http://schemas.microsoft.com/office/drawing/2014/chart" uri="{C3380CC4-5D6E-409C-BE32-E72D297353CC}">
              <c16:uniqueId val="{00000002-81E9-4F4C-A384-A0BEA2F1EBEB}"/>
            </c:ext>
          </c:extLst>
        </c:ser>
        <c:dLbls>
          <c:showLegendKey val="0"/>
          <c:showVal val="0"/>
          <c:showCatName val="0"/>
          <c:showSerName val="0"/>
          <c:showPercent val="0"/>
          <c:showBubbleSize val="0"/>
        </c:dLbls>
        <c:smooth val="0"/>
        <c:axId val="460053936"/>
        <c:axId val="460054328"/>
      </c:lineChart>
      <c:catAx>
        <c:axId val="4600539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571"/>
              <c:y val="0.7598922503108165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460054328"/>
        <c:crosses val="autoZero"/>
        <c:auto val="1"/>
        <c:lblAlgn val="ctr"/>
        <c:lblOffset val="100"/>
        <c:noMultiLvlLbl val="1"/>
      </c:catAx>
      <c:valAx>
        <c:axId val="46005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73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3936"/>
        <c:crosses val="autoZero"/>
        <c:crossBetween val="between"/>
      </c:valAx>
      <c:spPr>
        <a:noFill/>
        <a:ln>
          <a:noFill/>
        </a:ln>
        <a:effectLst/>
      </c:spPr>
    </c:plotArea>
    <c:legend>
      <c:legendPos val="b"/>
      <c:layout>
        <c:manualLayout>
          <c:xMode val="edge"/>
          <c:yMode val="edge"/>
          <c:x val="5.8497981869913313E-2"/>
          <c:y val="0.85685063771002479"/>
          <c:w val="0.89260973394368481"/>
          <c:h val="0.1236562554018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4B47-49B7-8CED-3CA2DE713440}"/>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-212500</c:v>
                </c:pt>
                <c:pt idx="1">
                  <c:v>-194650</c:v>
                </c:pt>
                <c:pt idx="2">
                  <c:v>-176443</c:v>
                </c:pt>
                <c:pt idx="3">
                  <c:v>-157871.85999999999</c:v>
                </c:pt>
                <c:pt idx="4">
                  <c:v>-138929.29719999997</c:v>
                </c:pt>
                <c:pt idx="5">
                  <c:v>-119607.88314399998</c:v>
                </c:pt>
                <c:pt idx="6">
                  <c:v>-99900.040806879973</c:v>
                </c:pt>
                <c:pt idx="7">
                  <c:v>-79798.041623017576</c:v>
                </c:pt>
                <c:pt idx="8">
                  <c:v>-59294.00245547793</c:v>
                </c:pt>
                <c:pt idx="9">
                  <c:v>-38379.882504587491</c:v>
                </c:pt>
                <c:pt idx="10">
                  <c:v>-17047.480154679241</c:v>
                </c:pt>
                <c:pt idx="11">
                  <c:v>4711.5702422271743</c:v>
                </c:pt>
                <c:pt idx="12">
                  <c:v>26811.570242227175</c:v>
                </c:pt>
                <c:pt idx="13">
                  <c:v>48911.570242227172</c:v>
                </c:pt>
                <c:pt idx="14">
                  <c:v>71011.570242227172</c:v>
                </c:pt>
                <c:pt idx="15">
                  <c:v>93111.570242227172</c:v>
                </c:pt>
                <c:pt idx="16">
                  <c:v>115211.57024222717</c:v>
                </c:pt>
                <c:pt idx="17">
                  <c:v>137311.57024222717</c:v>
                </c:pt>
                <c:pt idx="18">
                  <c:v>159411.57024222717</c:v>
                </c:pt>
                <c:pt idx="19">
                  <c:v>181511.57024222717</c:v>
                </c:pt>
                <c:pt idx="20">
                  <c:v>203611.57024222717</c:v>
                </c:pt>
              </c:numCache>
            </c:numRef>
          </c:val>
          <c:smooth val="0"/>
          <c:extLst>
            <c:ext xmlns:c16="http://schemas.microsoft.com/office/drawing/2014/chart" uri="{C3380CC4-5D6E-409C-BE32-E72D297353CC}">
              <c16:uniqueId val="{00000001-4B47-49B7-8CED-3CA2DE713440}"/>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2-4B47-49B7-8CED-3CA2DE713440}"/>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-212500</c:v>
                </c:pt>
                <c:pt idx="1">
                  <c:v>-194650</c:v>
                </c:pt>
                <c:pt idx="2">
                  <c:v>-175705</c:v>
                </c:pt>
                <c:pt idx="3">
                  <c:v>-155620.96</c:v>
                </c:pt>
                <c:pt idx="4">
                  <c:v>-134352.29499999998</c:v>
                </c:pt>
                <c:pt idx="5">
                  <c:v>-111851.82417399998</c:v>
                </c:pt>
                <c:pt idx="6">
                  <c:v>-88070.718429699962</c:v>
                </c:pt>
                <c:pt idx="7">
                  <c:v>-62958.446303680546</c:v>
                </c:pt>
                <c:pt idx="8">
                  <c:v>-36462.718140302342</c:v>
                </c:pt>
                <c:pt idx="9">
                  <c:v>-8529.4285009730174</c:v>
                </c:pt>
                <c:pt idx="10">
                  <c:v>20897.403251206953</c:v>
                </c:pt>
                <c:pt idx="11">
                  <c:v>51457.746183072355</c:v>
                </c:pt>
                <c:pt idx="12">
                  <c:v>83009.899402893716</c:v>
                </c:pt>
                <c:pt idx="13">
                  <c:v>115583.61721930972</c:v>
                </c:pt>
                <c:pt idx="14">
                  <c:v>149209.54657021823</c:v>
                </c:pt>
                <c:pt idx="15">
                  <c:v>183919.25380165398</c:v>
                </c:pt>
                <c:pt idx="16">
                  <c:v>219745.25225003279</c:v>
                </c:pt>
                <c:pt idx="17">
                  <c:v>256721.03065186297</c:v>
                </c:pt>
                <c:pt idx="18">
                  <c:v>294881.08240574808</c:v>
                </c:pt>
                <c:pt idx="19">
                  <c:v>334260.93571224972</c:v>
                </c:pt>
                <c:pt idx="20">
                  <c:v>374897.18461794639</c:v>
                </c:pt>
              </c:numCache>
            </c:numRef>
          </c:val>
          <c:smooth val="0"/>
          <c:extLst>
            <c:ext xmlns:c16="http://schemas.microsoft.com/office/drawing/2014/chart" uri="{C3380CC4-5D6E-409C-BE32-E72D297353CC}">
              <c16:uniqueId val="{00000003-4B47-49B7-8CED-3CA2DE713440}"/>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4-4B47-49B7-8CED-3CA2DE713440}"/>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-212500</c:v>
                </c:pt>
                <c:pt idx="1">
                  <c:v>-194650</c:v>
                </c:pt>
                <c:pt idx="2">
                  <c:v>-174967</c:v>
                </c:pt>
                <c:pt idx="3">
                  <c:v>-153325.78</c:v>
                </c:pt>
                <c:pt idx="4">
                  <c:v>-129593.302</c:v>
                </c:pt>
                <c:pt idx="5">
                  <c:v>-103628.234824</c:v>
                </c:pt>
                <c:pt idx="6">
                  <c:v>-75280.450311519991</c:v>
                </c:pt>
                <c:pt idx="7">
                  <c:v>-44390.489156252777</c:v>
                </c:pt>
                <c:pt idx="8">
                  <c:v>-10788.99456819037</c:v>
                </c:pt>
                <c:pt idx="9">
                  <c:v>25703.888173904539</c:v>
                </c:pt>
                <c:pt idx="10">
                  <c:v>64765.070565370785</c:v>
                </c:pt>
                <c:pt idx="11">
                  <c:v>106319.923900325</c:v>
                </c:pt>
                <c:pt idx="12">
                  <c:v>150518.06843537648</c:v>
                </c:pt>
                <c:pt idx="13">
                  <c:v>197518.10164253105</c:v>
                </c:pt>
                <c:pt idx="14">
                  <c:v>247488.13684211488</c:v>
                </c:pt>
                <c:pt idx="15">
                  <c:v>300606.37415367371</c:v>
                </c:pt>
                <c:pt idx="16">
                  <c:v>357061.7057039261</c:v>
                </c:pt>
                <c:pt idx="17">
                  <c:v>417054.35714719363</c:v>
                </c:pt>
                <c:pt idx="18">
                  <c:v>480796.56767705723</c:v>
                </c:pt>
                <c:pt idx="19">
                  <c:v>548513.31083871261</c:v>
                </c:pt>
                <c:pt idx="20">
                  <c:v>620443.05859006732</c:v>
                </c:pt>
              </c:numCache>
            </c:numRef>
          </c:val>
          <c:smooth val="0"/>
          <c:extLst>
            <c:ext xmlns:c16="http://schemas.microsoft.com/office/drawing/2014/chart" uri="{C3380CC4-5D6E-409C-BE32-E72D297353CC}">
              <c16:uniqueId val="{00000005-4B47-49B7-8CED-3CA2DE713440}"/>
            </c:ext>
          </c:extLst>
        </c:ser>
        <c:dLbls>
          <c:showLegendKey val="0"/>
          <c:showVal val="0"/>
          <c:showCatName val="0"/>
          <c:showSerName val="0"/>
          <c:showPercent val="0"/>
          <c:showBubbleSize val="0"/>
        </c:dLbls>
        <c:smooth val="0"/>
        <c:axId val="460056288"/>
        <c:axId val="460056680"/>
      </c:lineChart>
      <c:catAx>
        <c:axId val="46005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6680"/>
        <c:crosses val="autoZero"/>
        <c:auto val="1"/>
        <c:lblAlgn val="ctr"/>
        <c:lblOffset val="100"/>
        <c:noMultiLvlLbl val="0"/>
      </c:catAx>
      <c:valAx>
        <c:axId val="4600566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05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842566897658782"/>
          <c:y val="0.11976495944999881"/>
          <c:w val="0.76402874511152441"/>
          <c:h val="0.65298197865126995"/>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4A77-4528-8D77-F265F8160F66}"/>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1-4A77-4528-8D77-F265F8160F66}"/>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2-4A77-4528-8D77-F265F8160F66}"/>
            </c:ext>
          </c:extLst>
        </c:ser>
        <c:dLbls>
          <c:showLegendKey val="0"/>
          <c:showVal val="0"/>
          <c:showCatName val="0"/>
          <c:showSerName val="0"/>
          <c:showPercent val="0"/>
          <c:showBubbleSize val="0"/>
        </c:dLbls>
        <c:smooth val="0"/>
        <c:axId val="458876272"/>
        <c:axId val="458879800"/>
      </c:lineChart>
      <c:catAx>
        <c:axId val="4588762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458879800"/>
        <c:crosses val="autoZero"/>
        <c:auto val="1"/>
        <c:lblAlgn val="ctr"/>
        <c:lblOffset val="100"/>
        <c:noMultiLvlLbl val="0"/>
      </c:catAx>
      <c:valAx>
        <c:axId val="45887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6272"/>
        <c:crosses val="autoZero"/>
        <c:crossBetween val="between"/>
      </c:valAx>
      <c:spPr>
        <a:noFill/>
        <a:ln>
          <a:noFill/>
        </a:ln>
        <a:effectLst/>
      </c:spPr>
    </c:plotArea>
    <c:legend>
      <c:legendPos val="b"/>
      <c:layout>
        <c:manualLayout>
          <c:xMode val="edge"/>
          <c:yMode val="edge"/>
          <c:x val="0.19518892916533334"/>
          <c:y val="0.77971886381335198"/>
          <c:w val="0.5829732409364885"/>
          <c:h val="0.22028113618664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949"/>
          <c:y val="2.85132382892057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2872542001769"/>
          <c:y val="0.11633208781692513"/>
          <c:w val="0.78440350167709394"/>
          <c:h val="0.59783056959536574"/>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-212500</c:v>
                </c:pt>
                <c:pt idx="1">
                  <c:v>-195336.53846153847</c:v>
                </c:pt>
                <c:pt idx="2">
                  <c:v>-178503.14349112427</c:v>
                </c:pt>
                <c:pt idx="3">
                  <c:v>-161993.4676547565</c:v>
                </c:pt>
                <c:pt idx="4">
                  <c:v>-145801.28558447273</c:v>
                </c:pt>
                <c:pt idx="5">
                  <c:v>-129920.49163092519</c:v>
                </c:pt>
                <c:pt idx="6">
                  <c:v>-114345.09756109971</c:v>
                </c:pt>
                <c:pt idx="7">
                  <c:v>-99069.23030030934</c:v>
                </c:pt>
                <c:pt idx="8">
                  <c:v>-84087.129717611097</c:v>
                </c:pt>
                <c:pt idx="9">
                  <c:v>-69393.146453810885</c:v>
                </c:pt>
                <c:pt idx="10">
                  <c:v>-54981.739791237604</c:v>
                </c:pt>
                <c:pt idx="11">
                  <c:v>-40847.475564483044</c:v>
                </c:pt>
                <c:pt idx="12">
                  <c:v>-27043.880768763604</c:v>
                </c:pt>
                <c:pt idx="13">
                  <c:v>-13771.19346518722</c:v>
                </c:pt>
                <c:pt idx="14">
                  <c:v>-1008.9941348253124</c:v>
                </c:pt>
                <c:pt idx="15">
                  <c:v>11262.351375138061</c:v>
                </c:pt>
                <c:pt idx="16">
                  <c:v>23061.722057795148</c:v>
                </c:pt>
                <c:pt idx="17">
                  <c:v>34407.27079111927</c:v>
                </c:pt>
                <c:pt idx="18">
                  <c:v>45316.452265469386</c:v>
                </c:pt>
                <c:pt idx="19">
                  <c:v>55806.049836959879</c:v>
                </c:pt>
                <c:pt idx="20">
                  <c:v>65892.201348008428</c:v>
                </c:pt>
              </c:numCache>
            </c:numRef>
          </c:val>
          <c:smooth val="0"/>
          <c:extLst>
            <c:ext xmlns:c16="http://schemas.microsoft.com/office/drawing/2014/chart" uri="{C3380CC4-5D6E-409C-BE32-E72D297353CC}">
              <c16:uniqueId val="{00000000-EF41-4E0E-A158-1108EC710E28}"/>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-212500</c:v>
                </c:pt>
                <c:pt idx="1">
                  <c:v>-195336.53846153847</c:v>
                </c:pt>
                <c:pt idx="2">
                  <c:v>-177820.82100591715</c:v>
                </c:pt>
                <c:pt idx="3">
                  <c:v>-159966.18257851616</c:v>
                </c:pt>
                <c:pt idx="4">
                  <c:v>-141785.63859890893</c:v>
                </c:pt>
                <c:pt idx="5">
                  <c:v>-123291.89171217155</c:v>
                </c:pt>
                <c:pt idx="6">
                  <c:v>-104497.33840452664</c:v>
                </c:pt>
                <c:pt idx="7">
                  <c:v>-85414.075485986847</c:v>
                </c:pt>
                <c:pt idx="8">
                  <c:v>-66053.906442611187</c:v>
                </c:pt>
                <c:pt idx="9">
                  <c:v>-46428.34766093683</c:v>
                </c:pt>
                <c:pt idx="10">
                  <c:v>-26548.634527098751</c:v>
                </c:pt>
                <c:pt idx="11">
                  <c:v>-6697.2184965246888</c:v>
                </c:pt>
                <c:pt idx="12">
                  <c:v>13010.163312473891</c:v>
                </c:pt>
                <c:pt idx="13">
                  <c:v>32573.094122076818</c:v>
                </c:pt>
                <c:pt idx="14">
                  <c:v>51991.230458952894</c:v>
                </c:pt>
                <c:pt idx="15">
                  <c:v>71264.298784139435</c:v>
                </c:pt>
                <c:pt idx="16">
                  <c:v>90392.092257837154</c:v>
                </c:pt>
                <c:pt idx="17">
                  <c:v>109374.4676338805</c:v>
                </c:pt>
                <c:pt idx="18">
                  <c:v>128211.34227884543</c:v>
                </c:pt>
                <c:pt idx="19">
                  <c:v>146902.69131095093</c:v>
                </c:pt>
                <c:pt idx="20">
                  <c:v>165448.54485409745</c:v>
                </c:pt>
              </c:numCache>
            </c:numRef>
          </c:val>
          <c:smooth val="0"/>
          <c:extLst>
            <c:ext xmlns:c16="http://schemas.microsoft.com/office/drawing/2014/chart" uri="{C3380CC4-5D6E-409C-BE32-E72D297353CC}">
              <c16:uniqueId val="{00000001-EF41-4E0E-A158-1108EC710E28}"/>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-212500</c:v>
                </c:pt>
                <c:pt idx="1">
                  <c:v>-195336.53846153847</c:v>
                </c:pt>
                <c:pt idx="2">
                  <c:v>-177138.49852071007</c:v>
                </c:pt>
                <c:pt idx="3">
                  <c:v>-157899.5327435139</c:v>
                </c:pt>
                <c:pt idx="4">
                  <c:v>-137612.91108559314</c:v>
                </c:pt>
                <c:pt idx="5">
                  <c:v>-116271.51854481125</c:v>
                </c:pt>
                <c:pt idx="6">
                  <c:v>-93867.852672330249</c:v>
                </c:pt>
                <c:pt idx="7">
                  <c:v>-70394.020941322902</c:v>
                </c:pt>
                <c:pt idx="8">
                  <c:v>-45841.737972398536</c:v>
                </c:pt>
                <c:pt idx="9">
                  <c:v>-20202.322614769033</c:v>
                </c:pt>
                <c:pt idx="10">
                  <c:v>6186.0126008747793</c:v>
                </c:pt>
                <c:pt idx="11">
                  <c:v>33179.25294116931</c:v>
                </c:pt>
                <c:pt idx="12">
                  <c:v>60785.28361467574</c:v>
                </c:pt>
                <c:pt idx="13">
                  <c:v>89012.2856063621</c:v>
                </c:pt>
                <c:pt idx="14">
                  <c:v>117868.73582185032</c:v>
                </c:pt>
                <c:pt idx="15">
                  <c:v>147363.40744765877</c:v>
                </c:pt>
                <c:pt idx="16">
                  <c:v>177505.37052339333</c:v>
                </c:pt>
                <c:pt idx="17">
                  <c:v>208303.99272207747</c:v>
                </c:pt>
                <c:pt idx="18">
                  <c:v>239768.94033504184</c:v>
                </c:pt>
                <c:pt idx="19">
                  <c:v>271910.17945801676</c:v>
                </c:pt>
                <c:pt idx="20">
                  <c:v>304737.97737528681</c:v>
                </c:pt>
              </c:numCache>
            </c:numRef>
          </c:val>
          <c:smooth val="0"/>
          <c:extLst>
            <c:ext xmlns:c16="http://schemas.microsoft.com/office/drawing/2014/chart" uri="{C3380CC4-5D6E-409C-BE32-E72D297353CC}">
              <c16:uniqueId val="{00000002-EF41-4E0E-A158-1108EC710E28}"/>
            </c:ext>
          </c:extLst>
        </c:ser>
        <c:dLbls>
          <c:showLegendKey val="0"/>
          <c:showVal val="0"/>
          <c:showCatName val="0"/>
          <c:showSerName val="0"/>
          <c:showPercent val="0"/>
          <c:showBubbleSize val="0"/>
        </c:dLbls>
        <c:smooth val="0"/>
        <c:axId val="458879016"/>
        <c:axId val="458877056"/>
      </c:lineChart>
      <c:catAx>
        <c:axId val="4588790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458"/>
              <c:y val="0.598269059242138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7056"/>
        <c:crosses val="autoZero"/>
        <c:auto val="1"/>
        <c:lblAlgn val="ctr"/>
        <c:lblOffset val="100"/>
        <c:noMultiLvlLbl val="0"/>
      </c:catAx>
      <c:valAx>
        <c:axId val="45887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9016"/>
        <c:crosses val="autoZero"/>
        <c:crossBetween val="between"/>
      </c:valAx>
      <c:spPr>
        <a:noFill/>
        <a:ln>
          <a:noFill/>
        </a:ln>
        <a:effectLst/>
      </c:spPr>
    </c:plotArea>
    <c:legend>
      <c:legendPos val="b"/>
      <c:layout>
        <c:manualLayout>
          <c:xMode val="edge"/>
          <c:yMode val="edge"/>
          <c:x val="0.24497220935618336"/>
          <c:y val="0.71905030710265083"/>
          <c:w val="0.59294307128721202"/>
          <c:h val="0.275192199753034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present value</a:t>
            </a:r>
            <a:r>
              <a:rPr lang="en-US"/>
              <a: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B1CD-46AD-8E7D-E82404A6F7DC}"/>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-212500</c:v>
                </c:pt>
                <c:pt idx="1">
                  <c:v>-195336.53846153847</c:v>
                </c:pt>
                <c:pt idx="2">
                  <c:v>-178503.14349112427</c:v>
                </c:pt>
                <c:pt idx="3">
                  <c:v>-161993.4676547565</c:v>
                </c:pt>
                <c:pt idx="4">
                  <c:v>-145801.28558447273</c:v>
                </c:pt>
                <c:pt idx="5">
                  <c:v>-129920.49163092519</c:v>
                </c:pt>
                <c:pt idx="6">
                  <c:v>-114345.09756109971</c:v>
                </c:pt>
                <c:pt idx="7">
                  <c:v>-99069.23030030934</c:v>
                </c:pt>
                <c:pt idx="8">
                  <c:v>-84087.129717611097</c:v>
                </c:pt>
                <c:pt idx="9">
                  <c:v>-69393.146453810885</c:v>
                </c:pt>
                <c:pt idx="10">
                  <c:v>-54981.739791237604</c:v>
                </c:pt>
                <c:pt idx="11">
                  <c:v>-40847.475564483044</c:v>
                </c:pt>
                <c:pt idx="12">
                  <c:v>-27043.880768763604</c:v>
                </c:pt>
                <c:pt idx="13">
                  <c:v>-13771.19346518722</c:v>
                </c:pt>
                <c:pt idx="14">
                  <c:v>-1008.9941348253124</c:v>
                </c:pt>
                <c:pt idx="15">
                  <c:v>11262.351375138061</c:v>
                </c:pt>
                <c:pt idx="16">
                  <c:v>23061.722057795148</c:v>
                </c:pt>
                <c:pt idx="17">
                  <c:v>34407.27079111927</c:v>
                </c:pt>
                <c:pt idx="18">
                  <c:v>45316.452265469386</c:v>
                </c:pt>
                <c:pt idx="19">
                  <c:v>55806.049836959879</c:v>
                </c:pt>
                <c:pt idx="20">
                  <c:v>65892.201348008428</c:v>
                </c:pt>
              </c:numCache>
            </c:numRef>
          </c:val>
          <c:smooth val="0"/>
          <c:extLst>
            <c:ext xmlns:c16="http://schemas.microsoft.com/office/drawing/2014/chart" uri="{C3380CC4-5D6E-409C-BE32-E72D297353CC}">
              <c16:uniqueId val="{00000001-B1CD-46AD-8E7D-E82404A6F7DC}"/>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2-B1CD-46AD-8E7D-E82404A6F7DC}"/>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-212500</c:v>
                </c:pt>
                <c:pt idx="1">
                  <c:v>-195336.53846153847</c:v>
                </c:pt>
                <c:pt idx="2">
                  <c:v>-177820.82100591715</c:v>
                </c:pt>
                <c:pt idx="3">
                  <c:v>-159966.18257851616</c:v>
                </c:pt>
                <c:pt idx="4">
                  <c:v>-141785.63859890893</c:v>
                </c:pt>
                <c:pt idx="5">
                  <c:v>-123291.89171217155</c:v>
                </c:pt>
                <c:pt idx="6">
                  <c:v>-104497.33840452664</c:v>
                </c:pt>
                <c:pt idx="7">
                  <c:v>-85414.075485986847</c:v>
                </c:pt>
                <c:pt idx="8">
                  <c:v>-66053.906442611187</c:v>
                </c:pt>
                <c:pt idx="9">
                  <c:v>-46428.34766093683</c:v>
                </c:pt>
                <c:pt idx="10">
                  <c:v>-26548.634527098751</c:v>
                </c:pt>
                <c:pt idx="11">
                  <c:v>-6697.2184965246888</c:v>
                </c:pt>
                <c:pt idx="12">
                  <c:v>13010.163312473891</c:v>
                </c:pt>
                <c:pt idx="13">
                  <c:v>32573.094122076818</c:v>
                </c:pt>
                <c:pt idx="14">
                  <c:v>51991.230458952894</c:v>
                </c:pt>
                <c:pt idx="15">
                  <c:v>71264.298784139435</c:v>
                </c:pt>
                <c:pt idx="16">
                  <c:v>90392.092257837154</c:v>
                </c:pt>
                <c:pt idx="17">
                  <c:v>109374.4676338805</c:v>
                </c:pt>
                <c:pt idx="18">
                  <c:v>128211.34227884543</c:v>
                </c:pt>
                <c:pt idx="19">
                  <c:v>146902.69131095093</c:v>
                </c:pt>
                <c:pt idx="20">
                  <c:v>165448.54485409745</c:v>
                </c:pt>
              </c:numCache>
            </c:numRef>
          </c:val>
          <c:smooth val="0"/>
          <c:extLst>
            <c:ext xmlns:c16="http://schemas.microsoft.com/office/drawing/2014/chart" uri="{C3380CC4-5D6E-409C-BE32-E72D297353CC}">
              <c16:uniqueId val="{00000003-B1CD-46AD-8E7D-E82404A6F7DC}"/>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4-B1CD-46AD-8E7D-E82404A6F7DC}"/>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-212500</c:v>
                </c:pt>
                <c:pt idx="1">
                  <c:v>-195336.53846153847</c:v>
                </c:pt>
                <c:pt idx="2">
                  <c:v>-177138.49852071007</c:v>
                </c:pt>
                <c:pt idx="3">
                  <c:v>-157899.5327435139</c:v>
                </c:pt>
                <c:pt idx="4">
                  <c:v>-137612.91108559314</c:v>
                </c:pt>
                <c:pt idx="5">
                  <c:v>-116271.51854481125</c:v>
                </c:pt>
                <c:pt idx="6">
                  <c:v>-93867.852672330249</c:v>
                </c:pt>
                <c:pt idx="7">
                  <c:v>-70394.020941322902</c:v>
                </c:pt>
                <c:pt idx="8">
                  <c:v>-45841.737972398536</c:v>
                </c:pt>
                <c:pt idx="9">
                  <c:v>-20202.322614769033</c:v>
                </c:pt>
                <c:pt idx="10">
                  <c:v>6186.0126008747793</c:v>
                </c:pt>
                <c:pt idx="11">
                  <c:v>33179.25294116931</c:v>
                </c:pt>
                <c:pt idx="12">
                  <c:v>60785.28361467574</c:v>
                </c:pt>
                <c:pt idx="13">
                  <c:v>89012.2856063621</c:v>
                </c:pt>
                <c:pt idx="14">
                  <c:v>117868.73582185032</c:v>
                </c:pt>
                <c:pt idx="15">
                  <c:v>147363.40744765877</c:v>
                </c:pt>
                <c:pt idx="16">
                  <c:v>177505.37052339333</c:v>
                </c:pt>
                <c:pt idx="17">
                  <c:v>208303.99272207747</c:v>
                </c:pt>
                <c:pt idx="18">
                  <c:v>239768.94033504184</c:v>
                </c:pt>
                <c:pt idx="19">
                  <c:v>271910.17945801676</c:v>
                </c:pt>
                <c:pt idx="20">
                  <c:v>304737.97737528681</c:v>
                </c:pt>
              </c:numCache>
            </c:numRef>
          </c:val>
          <c:smooth val="0"/>
          <c:extLst>
            <c:ext xmlns:c16="http://schemas.microsoft.com/office/drawing/2014/chart" uri="{C3380CC4-5D6E-409C-BE32-E72D297353CC}">
              <c16:uniqueId val="{00000005-B1CD-46AD-8E7D-E82404A6F7DC}"/>
            </c:ext>
          </c:extLst>
        </c:ser>
        <c:dLbls>
          <c:showLegendKey val="0"/>
          <c:showVal val="0"/>
          <c:showCatName val="0"/>
          <c:showSerName val="0"/>
          <c:showPercent val="0"/>
          <c:showBubbleSize val="0"/>
        </c:dLbls>
        <c:smooth val="0"/>
        <c:axId val="458873920"/>
        <c:axId val="458875488"/>
      </c:lineChart>
      <c:catAx>
        <c:axId val="45887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5488"/>
        <c:crosses val="autoZero"/>
        <c:auto val="1"/>
        <c:lblAlgn val="ctr"/>
        <c:lblOffset val="100"/>
        <c:noMultiLvlLbl val="0"/>
      </c:catAx>
      <c:valAx>
        <c:axId val="458875488"/>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3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23342458397296"/>
          <c:y val="0.14392462791862001"/>
          <c:w val="0.82069190943422654"/>
          <c:h val="0.59592371762778218"/>
        </c:manualLayout>
      </c:layout>
      <c:lineChart>
        <c:grouping val="standard"/>
        <c:varyColors val="0"/>
        <c:ser>
          <c:idx val="0"/>
          <c:order val="0"/>
          <c:tx>
            <c:v>Return on Investment 1</c:v>
          </c:tx>
          <c:spPr>
            <a:ln w="28575" cap="rnd">
              <a:solidFill>
                <a:schemeClr val="accent1"/>
              </a:solidFill>
              <a:round/>
            </a:ln>
            <a:effectLst/>
          </c:spPr>
          <c:marker>
            <c:symbol val="none"/>
          </c:marker>
          <c:val>
            <c:numRef>
              <c:f>'Solution 1, (hidden)'!$AD$5:$AD$55</c:f>
              <c:numCache>
                <c:formatCode>0%</c:formatCode>
                <c:ptCount val="51"/>
                <c:pt idx="0">
                  <c:v>0</c:v>
                </c:pt>
                <c:pt idx="1">
                  <c:v>4.1508951406649619E-2</c:v>
                </c:pt>
                <c:pt idx="2">
                  <c:v>8.384808184143222E-2</c:v>
                </c:pt>
                <c:pt idx="3">
                  <c:v>0.12703399488491049</c:v>
                </c:pt>
                <c:pt idx="4">
                  <c:v>0.17108362618925832</c:v>
                </c:pt>
                <c:pt idx="5">
                  <c:v>0.21601425011969308</c:v>
                </c:pt>
                <c:pt idx="6">
                  <c:v>0.26184348652873657</c:v>
                </c:pt>
                <c:pt idx="7">
                  <c:v>0.30858930766596093</c:v>
                </c:pt>
                <c:pt idx="8">
                  <c:v>0.35627004522592975</c:v>
                </c:pt>
                <c:pt idx="9">
                  <c:v>0.40490439753709795</c:v>
                </c:pt>
                <c:pt idx="10">
                  <c:v>0.45451143689448947</c:v>
                </c:pt>
                <c:pt idx="11">
                  <c:v>0.50511061703902893</c:v>
                </c:pt>
                <c:pt idx="12">
                  <c:v>0.55672178078645917</c:v>
                </c:pt>
                <c:pt idx="13">
                  <c:v>0.60936516780883798</c:v>
                </c:pt>
                <c:pt idx="14">
                  <c:v>0.66306142257166445</c:v>
                </c:pt>
                <c:pt idx="15">
                  <c:v>0.71783160242974731</c:v>
                </c:pt>
                <c:pt idx="16">
                  <c:v>0.77369718588499181</c:v>
                </c:pt>
                <c:pt idx="17">
                  <c:v>0.83068008100934132</c:v>
                </c:pt>
                <c:pt idx="18">
                  <c:v>0.88880263403617776</c:v>
                </c:pt>
                <c:pt idx="19">
                  <c:v>0.94808763812355101</c:v>
                </c:pt>
                <c:pt idx="20">
                  <c:v>1.0085583422926716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0-2BF4-40C9-A24E-4D89B34966FA}"/>
            </c:ext>
          </c:extLst>
        </c:ser>
        <c:ser>
          <c:idx val="1"/>
          <c:order val="1"/>
          <c:tx>
            <c:v>Return on Investment 1, energy prices change</c:v>
          </c:tx>
          <c:spPr>
            <a:ln w="28575" cap="rnd">
              <a:solidFill>
                <a:srgbClr val="FF0000"/>
              </a:solidFill>
              <a:round/>
            </a:ln>
            <a:effectLst/>
          </c:spPr>
          <c:marker>
            <c:symbol val="none"/>
          </c:marker>
          <c:val>
            <c:numRef>
              <c:f>'Solution 1, (hidden)'!$AB$5:$AB$55</c:f>
              <c:numCache>
                <c:formatCode>0%</c:formatCode>
                <c:ptCount val="51"/>
                <c:pt idx="0">
                  <c:v>0</c:v>
                </c:pt>
                <c:pt idx="1">
                  <c:v>4.1508951406649619E-2</c:v>
                </c:pt>
                <c:pt idx="2">
                  <c:v>8.6046291560102295E-2</c:v>
                </c:pt>
                <c:pt idx="3">
                  <c:v>0.13373853452685422</c:v>
                </c:pt>
                <c:pt idx="4">
                  <c:v>0.18471670304347826</c:v>
                </c:pt>
                <c:pt idx="5">
                  <c:v>0.23911647804168798</c:v>
                </c:pt>
                <c:pt idx="6">
                  <c:v>0.29707835294445273</c:v>
                </c:pt>
                <c:pt idx="7">
                  <c:v>0.3587477928820012</c:v>
                </c:pt>
                <c:pt idx="8">
                  <c:v>0.42427539898113115</c:v>
                </c:pt>
                <c:pt idx="9">
                  <c:v>0.49381707788595885</c:v>
                </c:pt>
                <c:pt idx="10">
                  <c:v>0.56753421667310988</c:v>
                </c:pt>
                <c:pt idx="11">
                  <c:v>0.64559386332935742</c:v>
                </c:pt>
                <c:pt idx="12">
                  <c:v>0.72816891296488429</c:v>
                </c:pt>
                <c:pt idx="13">
                  <c:v>0.8154382999406603</c:v>
                </c:pt>
                <c:pt idx="14">
                  <c:v>0.90758719609391691</c:v>
                </c:pt>
                <c:pt idx="15">
                  <c:v>1.0048072152513423</c:v>
                </c:pt>
                <c:pt idx="16">
                  <c:v>1.1072004799204265</c:v>
                </c:pt>
                <c:pt idx="17">
                  <c:v>1.2130184837060538</c:v>
                </c:pt>
                <c:pt idx="18">
                  <c:v>1.3223639687817206</c:v>
                </c:pt>
                <c:pt idx="19">
                  <c:v>1.4353427595861279</c:v>
                </c:pt>
                <c:pt idx="20">
                  <c:v>1.5520638552911381</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1-2BF4-40C9-A24E-4D89B34966FA}"/>
            </c:ext>
          </c:extLst>
        </c:ser>
        <c:dLbls>
          <c:showLegendKey val="0"/>
          <c:showVal val="0"/>
          <c:showCatName val="0"/>
          <c:showSerName val="0"/>
          <c:showPercent val="0"/>
          <c:showBubbleSize val="0"/>
        </c:dLbls>
        <c:smooth val="0"/>
        <c:axId val="458877840"/>
        <c:axId val="458880192"/>
      </c:lineChart>
      <c:catAx>
        <c:axId val="45887784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7181265796186158"/>
              <c:y val="0.8300111965773064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80192"/>
        <c:crosses val="autoZero"/>
        <c:auto val="1"/>
        <c:lblAlgn val="ctr"/>
        <c:lblOffset val="100"/>
        <c:noMultiLvlLbl val="0"/>
      </c:catAx>
      <c:valAx>
        <c:axId val="45888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4.4477390659747963E-2"/>
              <c:y val="1.379381912521052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7840"/>
        <c:crosses val="autoZero"/>
        <c:crossBetween val="between"/>
      </c:valAx>
      <c:spPr>
        <a:noFill/>
        <a:ln>
          <a:noFill/>
        </a:ln>
        <a:effectLst/>
      </c:spPr>
    </c:plotArea>
    <c:legend>
      <c:legendPos val="b"/>
      <c:layout>
        <c:manualLayout>
          <c:xMode val="edge"/>
          <c:yMode val="edge"/>
          <c:x val="0.20954528902234454"/>
          <c:y val="0.81825934185972415"/>
          <c:w val="0.58267095688095849"/>
          <c:h val="0.14913404032588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182538543008832E-2"/>
          <c:y val="0.12682824025289779"/>
          <c:w val="0.86605007565608361"/>
          <c:h val="0.6141400396604797"/>
        </c:manualLayout>
      </c:layout>
      <c:lineChart>
        <c:grouping val="standard"/>
        <c:varyColors val="0"/>
        <c:ser>
          <c:idx val="0"/>
          <c:order val="0"/>
          <c:tx>
            <c:strRef>
              <c:f>'5. Return on investment'!$L$1</c:f>
              <c:strCache>
                <c:ptCount val="1"/>
                <c:pt idx="0">
                  <c:v>Return_on_investment_2</c:v>
                </c:pt>
              </c:strCache>
            </c:strRef>
          </c:tx>
          <c:spPr>
            <a:ln w="28575" cap="rnd">
              <a:solidFill>
                <a:schemeClr val="accent1"/>
              </a:solidFill>
              <a:round/>
            </a:ln>
            <a:effectLst/>
          </c:spPr>
          <c:marker>
            <c:symbol val="none"/>
          </c:marker>
          <c:cat>
            <c:numRef>
              <c:f>[0]!Year_2Return_on_investment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[0]!Return_on_investment_2</c:f>
              <c:numCache>
                <c:formatCode>0%</c:formatCode>
                <c:ptCount val="21"/>
                <c:pt idx="0">
                  <c:v>0</c:v>
                </c:pt>
                <c:pt idx="1">
                  <c:v>8.4000000000000005E-2</c:v>
                </c:pt>
                <c:pt idx="2">
                  <c:v>0.16968</c:v>
                </c:pt>
                <c:pt idx="3">
                  <c:v>0.25707360000000001</c:v>
                </c:pt>
                <c:pt idx="4">
                  <c:v>0.34621507200000001</c:v>
                </c:pt>
                <c:pt idx="5">
                  <c:v>0.43713937343999998</c:v>
                </c:pt>
                <c:pt idx="6">
                  <c:v>0.52988216090880003</c:v>
                </c:pt>
                <c:pt idx="7">
                  <c:v>0.62447980412697612</c:v>
                </c:pt>
                <c:pt idx="8">
                  <c:v>0.72096940020951561</c:v>
                </c:pt>
                <c:pt idx="9">
                  <c:v>0.81938878821370598</c:v>
                </c:pt>
                <c:pt idx="10">
                  <c:v>0.91977656397798013</c:v>
                </c:pt>
                <c:pt idx="11">
                  <c:v>1.0221720952575397</c:v>
                </c:pt>
                <c:pt idx="12">
                  <c:v>1.1261720952575398</c:v>
                </c:pt>
                <c:pt idx="13">
                  <c:v>1.2301720952575397</c:v>
                </c:pt>
                <c:pt idx="14">
                  <c:v>1.3341720952575395</c:v>
                </c:pt>
                <c:pt idx="15">
                  <c:v>1.4381720952575396</c:v>
                </c:pt>
                <c:pt idx="16">
                  <c:v>1.5421720952575397</c:v>
                </c:pt>
                <c:pt idx="17">
                  <c:v>1.6461720952575396</c:v>
                </c:pt>
                <c:pt idx="18">
                  <c:v>1.7501720952575397</c:v>
                </c:pt>
                <c:pt idx="19">
                  <c:v>1.8541720952575396</c:v>
                </c:pt>
                <c:pt idx="20">
                  <c:v>1.9581720952575397</c:v>
                </c:pt>
              </c:numCache>
            </c:numRef>
          </c:val>
          <c:smooth val="0"/>
          <c:extLst>
            <c:ext xmlns:c16="http://schemas.microsoft.com/office/drawing/2014/chart" uri="{C3380CC4-5D6E-409C-BE32-E72D297353CC}">
              <c16:uniqueId val="{00000000-59AB-4A78-B120-3163DFB92F96}"/>
            </c:ext>
          </c:extLst>
        </c:ser>
        <c:ser>
          <c:idx val="1"/>
          <c:order val="1"/>
          <c:tx>
            <c:strRef>
              <c:f>'5. Return on investment'!$N$1</c:f>
              <c:strCache>
                <c:ptCount val="1"/>
                <c:pt idx="0">
                  <c:v>Return_on_investment_2ep_change</c:v>
                </c:pt>
              </c:strCache>
            </c:strRef>
          </c:tx>
          <c:spPr>
            <a:ln w="28575" cap="rnd">
              <a:solidFill>
                <a:schemeClr val="accent2"/>
              </a:solidFill>
              <a:round/>
            </a:ln>
            <a:effectLst/>
          </c:spPr>
          <c:marker>
            <c:symbol val="none"/>
          </c:marker>
          <c:cat>
            <c:numRef>
              <c:f>[0]!Year_2Return_on_investment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[0]!Return_on_investment_2ep_change</c:f>
              <c:numCache>
                <c:formatCode>0%</c:formatCode>
                <c:ptCount val="21"/>
                <c:pt idx="0">
                  <c:v>0</c:v>
                </c:pt>
                <c:pt idx="1">
                  <c:v>8.4000000000000005E-2</c:v>
                </c:pt>
                <c:pt idx="2">
                  <c:v>0.17315294117647059</c:v>
                </c:pt>
                <c:pt idx="3">
                  <c:v>0.26766607058823527</c:v>
                </c:pt>
                <c:pt idx="4">
                  <c:v>0.36775390588235296</c:v>
                </c:pt>
                <c:pt idx="5">
                  <c:v>0.47363847447529422</c:v>
                </c:pt>
                <c:pt idx="6">
                  <c:v>0.58554956033082373</c:v>
                </c:pt>
                <c:pt idx="7">
                  <c:v>0.7037249585709151</c:v>
                </c:pt>
                <c:pt idx="8">
                  <c:v>0.82841073816328314</c:v>
                </c:pt>
                <c:pt idx="9">
                  <c:v>0.95986151293659761</c:v>
                </c:pt>
                <c:pt idx="10">
                  <c:v>1.0983407211821503</c:v>
                </c:pt>
                <c:pt idx="11">
                  <c:v>1.2421540996850462</c:v>
                </c:pt>
                <c:pt idx="12">
                  <c:v>1.3906348207194998</c:v>
                </c:pt>
                <c:pt idx="13">
                  <c:v>1.5439229045614578</c:v>
                </c:pt>
                <c:pt idx="14">
                  <c:v>1.7021625720951448</c:v>
                </c:pt>
                <c:pt idx="15">
                  <c:v>1.8655023708313132</c:v>
                </c:pt>
                <c:pt idx="16">
                  <c:v>2.0340953047060371</c:v>
                </c:pt>
                <c:pt idx="17">
                  <c:v>2.208098967773473</c:v>
                </c:pt>
                <c:pt idx="18">
                  <c:v>2.3876756819094029</c:v>
                </c:pt>
                <c:pt idx="19">
                  <c:v>2.5729926386458812</c:v>
                </c:pt>
                <c:pt idx="20">
                  <c:v>2.7642220452609241</c:v>
                </c:pt>
              </c:numCache>
            </c:numRef>
          </c:val>
          <c:smooth val="0"/>
          <c:extLst>
            <c:ext xmlns:c16="http://schemas.microsoft.com/office/drawing/2014/chart" uri="{C3380CC4-5D6E-409C-BE32-E72D297353CC}">
              <c16:uniqueId val="{00000001-59AB-4A78-B120-3163DFB92F96}"/>
            </c:ext>
          </c:extLst>
        </c:ser>
        <c:dLbls>
          <c:showLegendKey val="0"/>
          <c:showVal val="0"/>
          <c:showCatName val="0"/>
          <c:showSerName val="0"/>
          <c:showPercent val="0"/>
          <c:showBubbleSize val="0"/>
        </c:dLbls>
        <c:smooth val="0"/>
        <c:axId val="458879408"/>
        <c:axId val="458880584"/>
      </c:lineChart>
      <c:dateAx>
        <c:axId val="4588794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9332973467735299"/>
              <c:y val="0.8084076898185408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en-US"/>
          </a:p>
        </c:txPr>
        <c:crossAx val="458880584"/>
        <c:crosses val="autoZero"/>
        <c:auto val="1"/>
        <c:lblOffset val="100"/>
        <c:baseTimeUnit val="days"/>
        <c:majorUnit val="1"/>
        <c:majorTimeUnit val="days"/>
        <c:minorUnit val="1"/>
        <c:minorTimeUnit val="years"/>
      </c:dateAx>
      <c:valAx>
        <c:axId val="458880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5901756691739912E-2"/>
              <c:y val="3.105299403433366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9408"/>
        <c:crosses val="autoZero"/>
        <c:crossBetween val="between"/>
      </c:valAx>
      <c:spPr>
        <a:noFill/>
        <a:ln>
          <a:noFill/>
        </a:ln>
        <a:effectLst/>
      </c:spPr>
    </c:plotArea>
    <c:legend>
      <c:legendPos val="b"/>
      <c:layout>
        <c:manualLayout>
          <c:xMode val="edge"/>
          <c:yMode val="edge"/>
          <c:x val="0.16925355269488482"/>
          <c:y val="0.80927192320138064"/>
          <c:w val="0.57207388197190701"/>
          <c:h val="0.19072807679861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investment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39370078740158"/>
          <c:y val="0.1161574074074074"/>
          <c:w val="0.87349687058348491"/>
          <c:h val="0.59030839895013121"/>
        </c:manualLayout>
      </c:layout>
      <c:lineChart>
        <c:grouping val="standard"/>
        <c:varyColors val="0"/>
        <c:ser>
          <c:idx val="0"/>
          <c:order val="0"/>
          <c:tx>
            <c:strRef>
              <c:f>'5. Return on investment'!$K$1</c:f>
              <c:strCache>
                <c:ptCount val="1"/>
                <c:pt idx="0">
                  <c:v>Return_on_investment_1</c:v>
                </c:pt>
              </c:strCache>
            </c:strRef>
          </c:tx>
          <c:spPr>
            <a:ln w="28575" cap="rnd">
              <a:solidFill>
                <a:schemeClr val="accent1"/>
              </a:solidFill>
              <a:round/>
            </a:ln>
            <a:effectLst/>
          </c:spPr>
          <c:marker>
            <c:symbol val="none"/>
          </c:marker>
          <c:cat>
            <c:numRef>
              <c:f>[0]!Year_1Return_on_investment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[0]!Return_on_investment_1</c:f>
              <c:numCache>
                <c:formatCode>0%</c:formatCode>
                <c:ptCount val="21"/>
                <c:pt idx="0">
                  <c:v>0</c:v>
                </c:pt>
                <c:pt idx="1">
                  <c:v>4.1508951406649619E-2</c:v>
                </c:pt>
                <c:pt idx="2">
                  <c:v>8.384808184143222E-2</c:v>
                </c:pt>
                <c:pt idx="3">
                  <c:v>0.12703399488491049</c:v>
                </c:pt>
                <c:pt idx="4">
                  <c:v>0.17108362618925832</c:v>
                </c:pt>
                <c:pt idx="5">
                  <c:v>0.21601425011969308</c:v>
                </c:pt>
                <c:pt idx="6">
                  <c:v>0.26184348652873657</c:v>
                </c:pt>
                <c:pt idx="7">
                  <c:v>0.30858930766596093</c:v>
                </c:pt>
                <c:pt idx="8">
                  <c:v>0.35627004522592975</c:v>
                </c:pt>
                <c:pt idx="9">
                  <c:v>0.40490439753709795</c:v>
                </c:pt>
                <c:pt idx="10">
                  <c:v>0.45451143689448947</c:v>
                </c:pt>
                <c:pt idx="11">
                  <c:v>0.50511061703902893</c:v>
                </c:pt>
                <c:pt idx="12">
                  <c:v>0.55672178078645917</c:v>
                </c:pt>
                <c:pt idx="13">
                  <c:v>0.60936516780883798</c:v>
                </c:pt>
                <c:pt idx="14">
                  <c:v>0.66306142257166445</c:v>
                </c:pt>
                <c:pt idx="15">
                  <c:v>0.71783160242974731</c:v>
                </c:pt>
                <c:pt idx="16">
                  <c:v>0.77369718588499181</c:v>
                </c:pt>
                <c:pt idx="17">
                  <c:v>0.83068008100934132</c:v>
                </c:pt>
                <c:pt idx="18">
                  <c:v>0.88880263403617776</c:v>
                </c:pt>
                <c:pt idx="19">
                  <c:v>0.94808763812355101</c:v>
                </c:pt>
                <c:pt idx="20">
                  <c:v>1.0085583422926716</c:v>
                </c:pt>
              </c:numCache>
            </c:numRef>
          </c:val>
          <c:smooth val="0"/>
          <c:extLst>
            <c:ext xmlns:c16="http://schemas.microsoft.com/office/drawing/2014/chart" uri="{C3380CC4-5D6E-409C-BE32-E72D297353CC}">
              <c16:uniqueId val="{00000000-A97A-42C8-B104-C5D371CFD85B}"/>
            </c:ext>
          </c:extLst>
        </c:ser>
        <c:ser>
          <c:idx val="1"/>
          <c:order val="1"/>
          <c:tx>
            <c:strRef>
              <c:f>'5. Return on investment'!$M$1</c:f>
              <c:strCache>
                <c:ptCount val="1"/>
                <c:pt idx="0">
                  <c:v>Return_on_investment_1ep_change</c:v>
                </c:pt>
              </c:strCache>
            </c:strRef>
          </c:tx>
          <c:spPr>
            <a:ln w="28575" cap="rnd">
              <a:solidFill>
                <a:schemeClr val="accent2"/>
              </a:solidFill>
              <a:round/>
            </a:ln>
            <a:effectLst/>
          </c:spPr>
          <c:marker>
            <c:symbol val="none"/>
          </c:marker>
          <c:cat>
            <c:numRef>
              <c:f>[0]!Year_1Return_on_investment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[0]!Return_on_investment_1ep_change</c:f>
              <c:numCache>
                <c:formatCode>0%</c:formatCode>
                <c:ptCount val="21"/>
                <c:pt idx="0">
                  <c:v>0</c:v>
                </c:pt>
                <c:pt idx="1">
                  <c:v>4.1508951406649619E-2</c:v>
                </c:pt>
                <c:pt idx="2">
                  <c:v>8.6046291560102295E-2</c:v>
                </c:pt>
                <c:pt idx="3">
                  <c:v>0.13373853452685422</c:v>
                </c:pt>
                <c:pt idx="4">
                  <c:v>0.18471670304347826</c:v>
                </c:pt>
                <c:pt idx="5">
                  <c:v>0.23911647804168798</c:v>
                </c:pt>
                <c:pt idx="6">
                  <c:v>0.29707835294445273</c:v>
                </c:pt>
                <c:pt idx="7">
                  <c:v>0.3587477928820012</c:v>
                </c:pt>
                <c:pt idx="8">
                  <c:v>0.42427539898113115</c:v>
                </c:pt>
                <c:pt idx="9">
                  <c:v>0.49381707788595885</c:v>
                </c:pt>
                <c:pt idx="10">
                  <c:v>0.56753421667310988</c:v>
                </c:pt>
                <c:pt idx="11">
                  <c:v>0.64559386332935742</c:v>
                </c:pt>
                <c:pt idx="12">
                  <c:v>0.72816891296488429</c:v>
                </c:pt>
                <c:pt idx="13">
                  <c:v>0.8154382999406603</c:v>
                </c:pt>
                <c:pt idx="14">
                  <c:v>0.90758719609391691</c:v>
                </c:pt>
                <c:pt idx="15">
                  <c:v>1.0048072152513423</c:v>
                </c:pt>
                <c:pt idx="16">
                  <c:v>1.1072004799204265</c:v>
                </c:pt>
                <c:pt idx="17">
                  <c:v>1.2130184837060538</c:v>
                </c:pt>
                <c:pt idx="18">
                  <c:v>1.3223639687817206</c:v>
                </c:pt>
                <c:pt idx="19">
                  <c:v>1.4353427595861279</c:v>
                </c:pt>
                <c:pt idx="20">
                  <c:v>1.5520638552911381</c:v>
                </c:pt>
              </c:numCache>
            </c:numRef>
          </c:val>
          <c:smooth val="0"/>
          <c:extLst>
            <c:ext xmlns:c16="http://schemas.microsoft.com/office/drawing/2014/chart" uri="{C3380CC4-5D6E-409C-BE32-E72D297353CC}">
              <c16:uniqueId val="{00000001-A97A-42C8-B104-C5D371CFD85B}"/>
            </c:ext>
          </c:extLst>
        </c:ser>
        <c:dLbls>
          <c:showLegendKey val="0"/>
          <c:showVal val="0"/>
          <c:showCatName val="0"/>
          <c:showSerName val="0"/>
          <c:showPercent val="0"/>
          <c:showBubbleSize val="0"/>
        </c:dLbls>
        <c:smooth val="0"/>
        <c:axId val="458876664"/>
        <c:axId val="458874312"/>
      </c:lineChart>
      <c:catAx>
        <c:axId val="458876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8765441017120561"/>
              <c:y val="0.771582057860744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spc="-100" baseline="0">
                <a:solidFill>
                  <a:schemeClr val="tx1">
                    <a:lumMod val="65000"/>
                    <a:lumOff val="35000"/>
                  </a:schemeClr>
                </a:solidFill>
                <a:latin typeface="+mn-lt"/>
                <a:ea typeface="+mn-ea"/>
                <a:cs typeface="+mn-cs"/>
              </a:defRPr>
            </a:pPr>
            <a:endParaRPr lang="en-US"/>
          </a:p>
        </c:txPr>
        <c:crossAx val="458874312"/>
        <c:crosses val="autoZero"/>
        <c:auto val="1"/>
        <c:lblAlgn val="ctr"/>
        <c:lblOffset val="100"/>
        <c:tickLblSkip val="1"/>
        <c:noMultiLvlLbl val="1"/>
      </c:catAx>
      <c:valAx>
        <c:axId val="45887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15875">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22"/>
          <c:y val="2.42690979417046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40157480314962"/>
          <c:y val="0.12169575941561522"/>
          <c:w val="0.76623665192535872"/>
          <c:h val="0.46303587051618539"/>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8E12-4BB9-8D9E-376D1A1C5555}"/>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1-8E12-4BB9-8D9E-376D1A1C5555}"/>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2-8E12-4BB9-8D9E-376D1A1C5555}"/>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tx1">
                  <a:lumMod val="50000"/>
                  <a:lumOff val="50000"/>
                </a:schemeClr>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3-8E12-4BB9-8D9E-376D1A1C5555}"/>
            </c:ext>
          </c:extLst>
        </c:ser>
        <c:dLbls>
          <c:showLegendKey val="0"/>
          <c:showVal val="0"/>
          <c:showCatName val="0"/>
          <c:showSerName val="0"/>
          <c:showPercent val="0"/>
          <c:showBubbleSize val="0"/>
        </c:dLbls>
        <c:smooth val="0"/>
        <c:axId val="458877448"/>
        <c:axId val="458874704"/>
      </c:lineChart>
      <c:catAx>
        <c:axId val="4588774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805E-2"/>
              <c:y val="0.6035666375036453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4704"/>
        <c:crosses val="autoZero"/>
        <c:auto val="1"/>
        <c:lblAlgn val="ctr"/>
        <c:lblOffset val="100"/>
        <c:noMultiLvlLbl val="1"/>
      </c:catAx>
      <c:valAx>
        <c:axId val="45887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609E-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877448"/>
        <c:crosses val="autoZero"/>
        <c:crossBetween val="midCat"/>
      </c:valAx>
      <c:spPr>
        <a:noFill/>
        <a:ln>
          <a:noFill/>
        </a:ln>
        <a:effectLst/>
      </c:spPr>
    </c:plotArea>
    <c:legend>
      <c:legendPos val="b"/>
      <c:layout>
        <c:manualLayout>
          <c:xMode val="edge"/>
          <c:yMode val="edge"/>
          <c:x val="2.8451922961684689E-3"/>
          <c:y val="0.69189476315460574"/>
          <c:w val="0.99287671232876717"/>
          <c:h val="0.29138920134983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67790074076735"/>
          <c:y val="0.12655687316193906"/>
          <c:w val="0.7918012184695592"/>
          <c:h val="0.48621757148777445"/>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212500</c:v>
                </c:pt>
                <c:pt idx="1">
                  <c:v>212500</c:v>
                </c:pt>
                <c:pt idx="2">
                  <c:v>212500</c:v>
                </c:pt>
                <c:pt idx="3">
                  <c:v>212500</c:v>
                </c:pt>
                <c:pt idx="4">
                  <c:v>212500</c:v>
                </c:pt>
                <c:pt idx="5">
                  <c:v>212500</c:v>
                </c:pt>
                <c:pt idx="6">
                  <c:v>212500</c:v>
                </c:pt>
                <c:pt idx="7">
                  <c:v>212500</c:v>
                </c:pt>
                <c:pt idx="8">
                  <c:v>212500</c:v>
                </c:pt>
                <c:pt idx="9">
                  <c:v>212500</c:v>
                </c:pt>
                <c:pt idx="10">
                  <c:v>212500</c:v>
                </c:pt>
                <c:pt idx="11">
                  <c:v>212500</c:v>
                </c:pt>
                <c:pt idx="12">
                  <c:v>212500</c:v>
                </c:pt>
                <c:pt idx="13">
                  <c:v>212500</c:v>
                </c:pt>
                <c:pt idx="14">
                  <c:v>212500</c:v>
                </c:pt>
                <c:pt idx="15">
                  <c:v>212500</c:v>
                </c:pt>
                <c:pt idx="16">
                  <c:v>212500</c:v>
                </c:pt>
                <c:pt idx="17">
                  <c:v>212500</c:v>
                </c:pt>
                <c:pt idx="18">
                  <c:v>212500</c:v>
                </c:pt>
                <c:pt idx="19">
                  <c:v>212500</c:v>
                </c:pt>
                <c:pt idx="20">
                  <c:v>212500</c:v>
                </c:pt>
              </c:numCache>
            </c:numRef>
          </c:val>
          <c:smooth val="0"/>
          <c:extLst>
            <c:ext xmlns:c16="http://schemas.microsoft.com/office/drawing/2014/chart" uri="{C3380CC4-5D6E-409C-BE32-E72D297353CC}">
              <c16:uniqueId val="{00000000-C48C-4646-9FF2-2A657E9F23F1}"/>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24600</c:v>
                </c:pt>
                <c:pt idx="2">
                  <c:v>49200</c:v>
                </c:pt>
                <c:pt idx="3">
                  <c:v>73800</c:v>
                </c:pt>
                <c:pt idx="4">
                  <c:v>98400</c:v>
                </c:pt>
                <c:pt idx="5">
                  <c:v>123000</c:v>
                </c:pt>
                <c:pt idx="6">
                  <c:v>147600</c:v>
                </c:pt>
                <c:pt idx="7">
                  <c:v>172200</c:v>
                </c:pt>
                <c:pt idx="8">
                  <c:v>196800</c:v>
                </c:pt>
                <c:pt idx="9">
                  <c:v>221400</c:v>
                </c:pt>
                <c:pt idx="10">
                  <c:v>246000</c:v>
                </c:pt>
                <c:pt idx="11">
                  <c:v>270600</c:v>
                </c:pt>
                <c:pt idx="12">
                  <c:v>295200</c:v>
                </c:pt>
                <c:pt idx="13">
                  <c:v>319800</c:v>
                </c:pt>
                <c:pt idx="14">
                  <c:v>344400</c:v>
                </c:pt>
                <c:pt idx="15">
                  <c:v>369000</c:v>
                </c:pt>
                <c:pt idx="16">
                  <c:v>393600</c:v>
                </c:pt>
                <c:pt idx="17">
                  <c:v>418200</c:v>
                </c:pt>
                <c:pt idx="18">
                  <c:v>442800</c:v>
                </c:pt>
                <c:pt idx="19">
                  <c:v>467400</c:v>
                </c:pt>
                <c:pt idx="20">
                  <c:v>492000</c:v>
                </c:pt>
              </c:numCache>
            </c:numRef>
          </c:val>
          <c:smooth val="0"/>
          <c:extLst>
            <c:ext xmlns:c16="http://schemas.microsoft.com/office/drawing/2014/chart" uri="{C3380CC4-5D6E-409C-BE32-E72D297353CC}">
              <c16:uniqueId val="{00000001-C48C-4646-9FF2-2A657E9F23F1}"/>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24600</c:v>
                </c:pt>
                <c:pt idx="2">
                  <c:v>49938</c:v>
                </c:pt>
                <c:pt idx="3">
                  <c:v>76036.14</c:v>
                </c:pt>
                <c:pt idx="4">
                  <c:v>102917.2242</c:v>
                </c:pt>
                <c:pt idx="5">
                  <c:v>130604.740926</c:v>
                </c:pt>
                <c:pt idx="6">
                  <c:v>159122.88315378001</c:v>
                </c:pt>
                <c:pt idx="7">
                  <c:v>188496.56964839343</c:v>
                </c:pt>
                <c:pt idx="8">
                  <c:v>218751.46673784524</c:v>
                </c:pt>
                <c:pt idx="9">
                  <c:v>249914.01073998061</c:v>
                </c:pt>
                <c:pt idx="10">
                  <c:v>282011.43106218003</c:v>
                </c:pt>
                <c:pt idx="11">
                  <c:v>315071.77399404545</c:v>
                </c:pt>
                <c:pt idx="12">
                  <c:v>349123.92721386685</c:v>
                </c:pt>
                <c:pt idx="13">
                  <c:v>384197.64503028285</c:v>
                </c:pt>
                <c:pt idx="14">
                  <c:v>420323.57438119134</c:v>
                </c:pt>
                <c:pt idx="15">
                  <c:v>457533.28161262709</c:v>
                </c:pt>
                <c:pt idx="16">
                  <c:v>495859.28006100591</c:v>
                </c:pt>
                <c:pt idx="17">
                  <c:v>535335.05846283608</c:v>
                </c:pt>
                <c:pt idx="18">
                  <c:v>575995.11021672119</c:v>
                </c:pt>
                <c:pt idx="19">
                  <c:v>617874.96352322283</c:v>
                </c:pt>
                <c:pt idx="20">
                  <c:v>661011.21242891951</c:v>
                </c:pt>
              </c:numCache>
            </c:numRef>
          </c:val>
          <c:smooth val="0"/>
          <c:extLst>
            <c:ext xmlns:c16="http://schemas.microsoft.com/office/drawing/2014/chart" uri="{C3380CC4-5D6E-409C-BE32-E72D297353CC}">
              <c16:uniqueId val="{00000002-C48C-4646-9FF2-2A657E9F23F1}"/>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24600</c:v>
                </c:pt>
                <c:pt idx="2">
                  <c:v>50676</c:v>
                </c:pt>
                <c:pt idx="3">
                  <c:v>78316.56</c:v>
                </c:pt>
                <c:pt idx="4">
                  <c:v>107615.5536</c:v>
                </c:pt>
                <c:pt idx="5">
                  <c:v>138672.48681599999</c:v>
                </c:pt>
                <c:pt idx="6">
                  <c:v>171592.83602495998</c:v>
                </c:pt>
                <c:pt idx="7">
                  <c:v>206488.40618645761</c:v>
                </c:pt>
                <c:pt idx="8">
                  <c:v>243477.71055764507</c:v>
                </c:pt>
                <c:pt idx="9">
                  <c:v>282686.3731911038</c:v>
                </c:pt>
                <c:pt idx="10">
                  <c:v>324247.55558257003</c:v>
                </c:pt>
                <c:pt idx="11">
                  <c:v>368302.40891752427</c:v>
                </c:pt>
                <c:pt idx="12">
                  <c:v>415000.55345257575</c:v>
                </c:pt>
                <c:pt idx="13">
                  <c:v>464500.5866597303</c:v>
                </c:pt>
                <c:pt idx="14">
                  <c:v>516970.62185931415</c:v>
                </c:pt>
                <c:pt idx="15">
                  <c:v>572588.85917087307</c:v>
                </c:pt>
                <c:pt idx="16">
                  <c:v>631544.19072112546</c:v>
                </c:pt>
                <c:pt idx="17">
                  <c:v>694036.84216439305</c:v>
                </c:pt>
                <c:pt idx="18">
                  <c:v>760279.05269425665</c:v>
                </c:pt>
                <c:pt idx="19">
                  <c:v>830495.79585591203</c:v>
                </c:pt>
                <c:pt idx="20">
                  <c:v>904925.54360726674</c:v>
                </c:pt>
              </c:numCache>
            </c:numRef>
          </c:val>
          <c:smooth val="0"/>
          <c:extLst>
            <c:ext xmlns:c16="http://schemas.microsoft.com/office/drawing/2014/chart" uri="{C3380CC4-5D6E-409C-BE32-E72D297353CC}">
              <c16:uniqueId val="{00000003-C48C-4646-9FF2-2A657E9F23F1}"/>
            </c:ext>
          </c:extLst>
        </c:ser>
        <c:dLbls>
          <c:showLegendKey val="0"/>
          <c:showVal val="0"/>
          <c:showCatName val="0"/>
          <c:showSerName val="0"/>
          <c:showPercent val="0"/>
          <c:showBubbleSize val="0"/>
        </c:dLbls>
        <c:smooth val="0"/>
        <c:axId val="585965696"/>
        <c:axId val="585960992"/>
      </c:lineChart>
      <c:catAx>
        <c:axId val="5859656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712E-2"/>
              <c:y val="0.6410512411438765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0992"/>
        <c:crosses val="autoZero"/>
        <c:auto val="1"/>
        <c:lblAlgn val="ctr"/>
        <c:lblOffset val="100"/>
        <c:noMultiLvlLbl val="0"/>
      </c:catAx>
      <c:valAx>
        <c:axId val="58596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4"/>
              <c:y val="3.223592333977117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5696"/>
        <c:crosses val="autoZero"/>
        <c:crossBetween val="between"/>
      </c:valAx>
      <c:spPr>
        <a:noFill/>
        <a:ln>
          <a:noFill/>
        </a:ln>
        <a:effectLst/>
      </c:spPr>
    </c:plotArea>
    <c:legend>
      <c:legendPos val="b"/>
      <c:layout>
        <c:manualLayout>
          <c:xMode val="edge"/>
          <c:yMode val="edge"/>
          <c:x val="4.1064456920105923E-3"/>
          <c:y val="0.71239077416207919"/>
          <c:w val="0.99061503416856489"/>
          <c:h val="0.28758375791261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 back period, Both measures</a:t>
            </a:r>
          </a:p>
        </c:rich>
      </c:tx>
      <c:layout>
        <c:manualLayout>
          <c:xMode val="edge"/>
          <c:yMode val="edge"/>
          <c:x val="0.16933333333333336"/>
          <c:y val="1.3880853457534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447003499562556"/>
          <c:y val="5.7141207262637404E-2"/>
          <c:w val="0.81497440944881894"/>
          <c:h val="0.45497102144136453"/>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572B-4817-A438-CB7044AEE81E}"/>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212500</c:v>
                </c:pt>
                <c:pt idx="1">
                  <c:v>212500</c:v>
                </c:pt>
                <c:pt idx="2">
                  <c:v>212500</c:v>
                </c:pt>
                <c:pt idx="3">
                  <c:v>212500</c:v>
                </c:pt>
                <c:pt idx="4">
                  <c:v>212500</c:v>
                </c:pt>
                <c:pt idx="5">
                  <c:v>212500</c:v>
                </c:pt>
                <c:pt idx="6">
                  <c:v>212500</c:v>
                </c:pt>
                <c:pt idx="7">
                  <c:v>212500</c:v>
                </c:pt>
                <c:pt idx="8">
                  <c:v>212500</c:v>
                </c:pt>
                <c:pt idx="9">
                  <c:v>212500</c:v>
                </c:pt>
                <c:pt idx="10">
                  <c:v>212500</c:v>
                </c:pt>
                <c:pt idx="11">
                  <c:v>212500</c:v>
                </c:pt>
                <c:pt idx="12">
                  <c:v>212500</c:v>
                </c:pt>
                <c:pt idx="13">
                  <c:v>212500</c:v>
                </c:pt>
                <c:pt idx="14">
                  <c:v>212500</c:v>
                </c:pt>
                <c:pt idx="15">
                  <c:v>212500</c:v>
                </c:pt>
                <c:pt idx="16">
                  <c:v>212500</c:v>
                </c:pt>
                <c:pt idx="17">
                  <c:v>212500</c:v>
                </c:pt>
                <c:pt idx="18">
                  <c:v>212500</c:v>
                </c:pt>
                <c:pt idx="19">
                  <c:v>212500</c:v>
                </c:pt>
                <c:pt idx="20">
                  <c:v>212500</c:v>
                </c:pt>
              </c:numCache>
            </c:numRef>
          </c:val>
          <c:smooth val="0"/>
          <c:extLst>
            <c:ext xmlns:c16="http://schemas.microsoft.com/office/drawing/2014/chart" uri="{C3380CC4-5D6E-409C-BE32-E72D297353CC}">
              <c16:uniqueId val="{00000001-572B-4817-A438-CB7044AEE81E}"/>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2-572B-4817-A438-CB7044AEE81E}"/>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24600</c:v>
                </c:pt>
                <c:pt idx="2">
                  <c:v>49200</c:v>
                </c:pt>
                <c:pt idx="3">
                  <c:v>73800</c:v>
                </c:pt>
                <c:pt idx="4">
                  <c:v>98400</c:v>
                </c:pt>
                <c:pt idx="5">
                  <c:v>123000</c:v>
                </c:pt>
                <c:pt idx="6">
                  <c:v>147600</c:v>
                </c:pt>
                <c:pt idx="7">
                  <c:v>172200</c:v>
                </c:pt>
                <c:pt idx="8">
                  <c:v>196800</c:v>
                </c:pt>
                <c:pt idx="9">
                  <c:v>221400</c:v>
                </c:pt>
                <c:pt idx="10">
                  <c:v>246000</c:v>
                </c:pt>
                <c:pt idx="11">
                  <c:v>270600</c:v>
                </c:pt>
                <c:pt idx="12">
                  <c:v>295200</c:v>
                </c:pt>
                <c:pt idx="13">
                  <c:v>319800</c:v>
                </c:pt>
                <c:pt idx="14">
                  <c:v>344400</c:v>
                </c:pt>
                <c:pt idx="15">
                  <c:v>369000</c:v>
                </c:pt>
                <c:pt idx="16">
                  <c:v>393600</c:v>
                </c:pt>
                <c:pt idx="17">
                  <c:v>418200</c:v>
                </c:pt>
                <c:pt idx="18">
                  <c:v>442800</c:v>
                </c:pt>
                <c:pt idx="19">
                  <c:v>467400</c:v>
                </c:pt>
                <c:pt idx="20">
                  <c:v>492000</c:v>
                </c:pt>
              </c:numCache>
            </c:numRef>
          </c:val>
          <c:smooth val="0"/>
          <c:extLst>
            <c:ext xmlns:c16="http://schemas.microsoft.com/office/drawing/2014/chart" uri="{C3380CC4-5D6E-409C-BE32-E72D297353CC}">
              <c16:uniqueId val="{00000003-572B-4817-A438-CB7044AEE81E}"/>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4-572B-4817-A438-CB7044AEE81E}"/>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24600</c:v>
                </c:pt>
                <c:pt idx="2">
                  <c:v>49938</c:v>
                </c:pt>
                <c:pt idx="3">
                  <c:v>76036.14</c:v>
                </c:pt>
                <c:pt idx="4">
                  <c:v>102917.2242</c:v>
                </c:pt>
                <c:pt idx="5">
                  <c:v>130604.740926</c:v>
                </c:pt>
                <c:pt idx="6">
                  <c:v>159122.88315378001</c:v>
                </c:pt>
                <c:pt idx="7">
                  <c:v>188496.56964839343</c:v>
                </c:pt>
                <c:pt idx="8">
                  <c:v>218751.46673784524</c:v>
                </c:pt>
                <c:pt idx="9">
                  <c:v>249914.01073998061</c:v>
                </c:pt>
                <c:pt idx="10">
                  <c:v>282011.43106218003</c:v>
                </c:pt>
                <c:pt idx="11">
                  <c:v>315071.77399404545</c:v>
                </c:pt>
                <c:pt idx="12">
                  <c:v>349123.92721386685</c:v>
                </c:pt>
                <c:pt idx="13">
                  <c:v>384197.64503028285</c:v>
                </c:pt>
                <c:pt idx="14">
                  <c:v>420323.57438119134</c:v>
                </c:pt>
                <c:pt idx="15">
                  <c:v>457533.28161262709</c:v>
                </c:pt>
                <c:pt idx="16">
                  <c:v>495859.28006100591</c:v>
                </c:pt>
                <c:pt idx="17">
                  <c:v>535335.05846283608</c:v>
                </c:pt>
                <c:pt idx="18">
                  <c:v>575995.11021672119</c:v>
                </c:pt>
                <c:pt idx="19">
                  <c:v>617874.96352322283</c:v>
                </c:pt>
                <c:pt idx="20">
                  <c:v>661011.21242891951</c:v>
                </c:pt>
              </c:numCache>
            </c:numRef>
          </c:val>
          <c:smooth val="0"/>
          <c:extLst>
            <c:ext xmlns:c16="http://schemas.microsoft.com/office/drawing/2014/chart" uri="{C3380CC4-5D6E-409C-BE32-E72D297353CC}">
              <c16:uniqueId val="{00000005-572B-4817-A438-CB7044AEE81E}"/>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6-572B-4817-A438-CB7044AEE81E}"/>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24600</c:v>
                </c:pt>
                <c:pt idx="2">
                  <c:v>50676</c:v>
                </c:pt>
                <c:pt idx="3">
                  <c:v>78316.56</c:v>
                </c:pt>
                <c:pt idx="4">
                  <c:v>107615.5536</c:v>
                </c:pt>
                <c:pt idx="5">
                  <c:v>138672.48681599999</c:v>
                </c:pt>
                <c:pt idx="6">
                  <c:v>171592.83602495998</c:v>
                </c:pt>
                <c:pt idx="7">
                  <c:v>206488.40618645761</c:v>
                </c:pt>
                <c:pt idx="8">
                  <c:v>243477.71055764507</c:v>
                </c:pt>
                <c:pt idx="9">
                  <c:v>282686.3731911038</c:v>
                </c:pt>
                <c:pt idx="10">
                  <c:v>324247.55558257003</c:v>
                </c:pt>
                <c:pt idx="11">
                  <c:v>368302.40891752427</c:v>
                </c:pt>
                <c:pt idx="12">
                  <c:v>415000.55345257575</c:v>
                </c:pt>
                <c:pt idx="13">
                  <c:v>464500.5866597303</c:v>
                </c:pt>
                <c:pt idx="14">
                  <c:v>516970.62185931415</c:v>
                </c:pt>
                <c:pt idx="15">
                  <c:v>572588.85917087307</c:v>
                </c:pt>
                <c:pt idx="16">
                  <c:v>631544.19072112546</c:v>
                </c:pt>
                <c:pt idx="17">
                  <c:v>694036.84216439305</c:v>
                </c:pt>
                <c:pt idx="18">
                  <c:v>760279.05269425665</c:v>
                </c:pt>
                <c:pt idx="19">
                  <c:v>830495.79585591203</c:v>
                </c:pt>
                <c:pt idx="20">
                  <c:v>904925.54360726674</c:v>
                </c:pt>
              </c:numCache>
            </c:numRef>
          </c:val>
          <c:smooth val="0"/>
          <c:extLst>
            <c:ext xmlns:c16="http://schemas.microsoft.com/office/drawing/2014/chart" uri="{C3380CC4-5D6E-409C-BE32-E72D297353CC}">
              <c16:uniqueId val="{00000007-572B-4817-A438-CB7044AEE81E}"/>
            </c:ext>
          </c:extLst>
        </c:ser>
        <c:dLbls>
          <c:showLegendKey val="0"/>
          <c:showVal val="0"/>
          <c:showCatName val="0"/>
          <c:showSerName val="0"/>
          <c:showPercent val="0"/>
          <c:showBubbleSize val="0"/>
        </c:dLbls>
        <c:smooth val="0"/>
        <c:axId val="585961384"/>
        <c:axId val="585966872"/>
      </c:lineChart>
      <c:catAx>
        <c:axId val="5859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6872"/>
        <c:crosses val="autoZero"/>
        <c:auto val="1"/>
        <c:lblAlgn val="ctr"/>
        <c:lblOffset val="100"/>
        <c:noMultiLvlLbl val="0"/>
      </c:catAx>
      <c:valAx>
        <c:axId val="585966872"/>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1384"/>
        <c:crosses val="autoZero"/>
        <c:crossBetween val="between"/>
      </c:valAx>
      <c:spPr>
        <a:noFill/>
        <a:ln>
          <a:noFill/>
        </a:ln>
        <a:effectLst/>
      </c:spPr>
    </c:plotArea>
    <c:legend>
      <c:legendPos val="b"/>
      <c:layout>
        <c:manualLayout>
          <c:xMode val="edge"/>
          <c:yMode val="edge"/>
          <c:x val="7.9326334208223978E-2"/>
          <c:y val="0.56980775928778471"/>
          <c:w val="0.84134733158355202"/>
          <c:h val="0.42932203527635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18"/>
          <c:y val="2.966101694915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75518969219757"/>
          <c:y val="0.1613983050847458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-46</c:v>
                </c:pt>
                <c:pt idx="2">
                  <c:v>-92</c:v>
                </c:pt>
                <c:pt idx="3">
                  <c:v>-138</c:v>
                </c:pt>
                <c:pt idx="4">
                  <c:v>-184</c:v>
                </c:pt>
                <c:pt idx="5">
                  <c:v>-230</c:v>
                </c:pt>
                <c:pt idx="6">
                  <c:v>-276</c:v>
                </c:pt>
                <c:pt idx="7">
                  <c:v>-322</c:v>
                </c:pt>
                <c:pt idx="8">
                  <c:v>-368</c:v>
                </c:pt>
                <c:pt idx="9">
                  <c:v>-414</c:v>
                </c:pt>
                <c:pt idx="10">
                  <c:v>-460</c:v>
                </c:pt>
                <c:pt idx="11">
                  <c:v>-506</c:v>
                </c:pt>
                <c:pt idx="12">
                  <c:v>-552</c:v>
                </c:pt>
                <c:pt idx="13">
                  <c:v>-598</c:v>
                </c:pt>
                <c:pt idx="14">
                  <c:v>-644</c:v>
                </c:pt>
                <c:pt idx="15">
                  <c:v>-690</c:v>
                </c:pt>
                <c:pt idx="16">
                  <c:v>-736</c:v>
                </c:pt>
                <c:pt idx="17">
                  <c:v>-782</c:v>
                </c:pt>
                <c:pt idx="18">
                  <c:v>-828</c:v>
                </c:pt>
                <c:pt idx="19">
                  <c:v>-874</c:v>
                </c:pt>
                <c:pt idx="20">
                  <c:v>-920</c:v>
                </c:pt>
              </c:numCache>
            </c:numRef>
          </c:val>
          <c:smooth val="0"/>
          <c:extLst>
            <c:ext xmlns:c16="http://schemas.microsoft.com/office/drawing/2014/chart" uri="{C3380CC4-5D6E-409C-BE32-E72D297353CC}">
              <c16:uniqueId val="{00000000-8499-4624-8C44-C85A727CB9D4}"/>
            </c:ext>
          </c:extLst>
        </c:ser>
        <c:dLbls>
          <c:showLegendKey val="0"/>
          <c:showVal val="0"/>
          <c:showCatName val="0"/>
          <c:showSerName val="0"/>
          <c:showPercent val="0"/>
          <c:showBubbleSize val="0"/>
        </c:dLbls>
        <c:smooth val="0"/>
        <c:axId val="585965304"/>
        <c:axId val="585966480"/>
      </c:lineChart>
      <c:catAx>
        <c:axId val="5859653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6480"/>
        <c:crosses val="autoZero"/>
        <c:auto val="1"/>
        <c:lblAlgn val="ctr"/>
        <c:lblOffset val="100"/>
        <c:noMultiLvlLbl val="0"/>
      </c:catAx>
      <c:valAx>
        <c:axId val="58596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5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88885941324716"/>
          <c:y val="0.17171296296296298"/>
          <c:w val="0.80554605636010657"/>
          <c:h val="0.60106408573928261"/>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5124-41E6-89B7-93821A642A54}"/>
            </c:ext>
          </c:extLst>
        </c:ser>
        <c:dLbls>
          <c:showLegendKey val="0"/>
          <c:showVal val="0"/>
          <c:showCatName val="0"/>
          <c:showSerName val="0"/>
          <c:showPercent val="0"/>
          <c:showBubbleSize val="0"/>
        </c:dLbls>
        <c:smooth val="0"/>
        <c:axId val="585962952"/>
        <c:axId val="585960208"/>
      </c:lineChart>
      <c:catAx>
        <c:axId val="5859629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0208"/>
        <c:crosses val="autoZero"/>
        <c:auto val="1"/>
        <c:lblAlgn val="ctr"/>
        <c:lblOffset val="100"/>
        <c:noMultiLvlLbl val="1"/>
      </c:catAx>
      <c:valAx>
        <c:axId val="58596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2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F055-4A6D-8DDB-FBEE10E01782}"/>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-46</c:v>
                </c:pt>
                <c:pt idx="2">
                  <c:v>-92</c:v>
                </c:pt>
                <c:pt idx="3">
                  <c:v>-138</c:v>
                </c:pt>
                <c:pt idx="4">
                  <c:v>-184</c:v>
                </c:pt>
                <c:pt idx="5">
                  <c:v>-230</c:v>
                </c:pt>
                <c:pt idx="6">
                  <c:v>-276</c:v>
                </c:pt>
                <c:pt idx="7">
                  <c:v>-322</c:v>
                </c:pt>
                <c:pt idx="8">
                  <c:v>-368</c:v>
                </c:pt>
                <c:pt idx="9">
                  <c:v>-414</c:v>
                </c:pt>
                <c:pt idx="10">
                  <c:v>-460</c:v>
                </c:pt>
                <c:pt idx="11">
                  <c:v>-506</c:v>
                </c:pt>
                <c:pt idx="12">
                  <c:v>-552</c:v>
                </c:pt>
                <c:pt idx="13">
                  <c:v>-598</c:v>
                </c:pt>
                <c:pt idx="14">
                  <c:v>-644</c:v>
                </c:pt>
                <c:pt idx="15">
                  <c:v>-690</c:v>
                </c:pt>
                <c:pt idx="16">
                  <c:v>-736</c:v>
                </c:pt>
                <c:pt idx="17">
                  <c:v>-782</c:v>
                </c:pt>
                <c:pt idx="18">
                  <c:v>-828</c:v>
                </c:pt>
                <c:pt idx="19">
                  <c:v>-874</c:v>
                </c:pt>
                <c:pt idx="20">
                  <c:v>-920</c:v>
                </c:pt>
              </c:numCache>
            </c:numRef>
          </c:val>
          <c:smooth val="0"/>
          <c:extLst>
            <c:ext xmlns:c16="http://schemas.microsoft.com/office/drawing/2014/chart" uri="{C3380CC4-5D6E-409C-BE32-E72D297353CC}">
              <c16:uniqueId val="{00000001-F055-4A6D-8DDB-FBEE10E01782}"/>
            </c:ext>
          </c:extLst>
        </c:ser>
        <c:dLbls>
          <c:showLegendKey val="0"/>
          <c:showVal val="0"/>
          <c:showCatName val="0"/>
          <c:showSerName val="0"/>
          <c:showPercent val="0"/>
          <c:showBubbleSize val="0"/>
        </c:dLbls>
        <c:smooth val="0"/>
        <c:axId val="585962168"/>
        <c:axId val="585962560"/>
      </c:lineChart>
      <c:catAx>
        <c:axId val="58596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2560"/>
        <c:crosses val="autoZero"/>
        <c:auto val="1"/>
        <c:lblAlgn val="ctr"/>
        <c:lblOffset val="100"/>
        <c:noMultiLvlLbl val="0"/>
      </c:catAx>
      <c:valAx>
        <c:axId val="58596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96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0</xdr:rowOff>
    </xdr:from>
    <xdr:to>
      <xdr:col>8</xdr:col>
      <xdr:colOff>385120</xdr:colOff>
      <xdr:row>0</xdr:row>
      <xdr:rowOff>961905</xdr:rowOff>
    </xdr:to>
    <xdr:pic>
      <xdr:nvPicPr>
        <xdr:cNvPr id="3" name="Kuv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49" y="0"/>
          <a:ext cx="5123809" cy="961905"/>
        </a:xfrm>
        <a:prstGeom prst="rect">
          <a:avLst/>
        </a:prstGeom>
      </xdr:spPr>
    </xdr:pic>
    <xdr:clientData/>
  </xdr:twoCellAnchor>
  <xdr:twoCellAnchor editAs="oneCell">
    <xdr:from>
      <xdr:col>9</xdr:col>
      <xdr:colOff>0</xdr:colOff>
      <xdr:row>5</xdr:row>
      <xdr:rowOff>0</xdr:rowOff>
    </xdr:from>
    <xdr:to>
      <xdr:col>16</xdr:col>
      <xdr:colOff>518045</xdr:colOff>
      <xdr:row>44</xdr:row>
      <xdr:rowOff>99218</xdr:rowOff>
    </xdr:to>
    <xdr:pic>
      <xdr:nvPicPr>
        <xdr:cNvPr id="9" name="Picture 4">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1156" y="1964531"/>
          <a:ext cx="4768577" cy="758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694684</xdr:colOff>
      <xdr:row>3</xdr:row>
      <xdr:rowOff>1467</xdr:rowOff>
    </xdr:to>
    <xdr:pic>
      <xdr:nvPicPr>
        <xdr:cNvPr id="2" name="Kuv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123809" cy="9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501650</xdr:colOff>
      <xdr:row>11</xdr:row>
      <xdr:rowOff>69850</xdr:rowOff>
    </xdr:from>
    <xdr:to>
      <xdr:col>3</xdr:col>
      <xdr:colOff>584200</xdr:colOff>
      <xdr:row>31</xdr:row>
      <xdr:rowOff>76200</xdr:rowOff>
    </xdr:to>
    <xdr:graphicFrame macro="">
      <xdr:nvGraphicFramePr>
        <xdr:cNvPr id="19" name="Kaavio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44450</xdr:colOff>
      <xdr:row>11</xdr:row>
      <xdr:rowOff>57150</xdr:rowOff>
    </xdr:from>
    <xdr:to>
      <xdr:col>8</xdr:col>
      <xdr:colOff>533400</xdr:colOff>
      <xdr:row>31</xdr:row>
      <xdr:rowOff>82550</xdr:rowOff>
    </xdr:to>
    <xdr:graphicFrame macro="">
      <xdr:nvGraphicFramePr>
        <xdr:cNvPr id="21" name="Kaavio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76200</xdr:rowOff>
    </xdr:from>
    <xdr:to>
      <xdr:col>1</xdr:col>
      <xdr:colOff>457200</xdr:colOff>
      <xdr:row>31</xdr:row>
      <xdr:rowOff>82550</xdr:rowOff>
    </xdr:to>
    <xdr:graphicFrame macro="">
      <xdr:nvGraphicFramePr>
        <xdr:cNvPr id="22" name="Kaavi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31751</xdr:colOff>
      <xdr:row>33</xdr:row>
      <xdr:rowOff>82550</xdr:rowOff>
    </xdr:from>
    <xdr:to>
      <xdr:col>1</xdr:col>
      <xdr:colOff>469900</xdr:colOff>
      <xdr:row>53</xdr:row>
      <xdr:rowOff>69850</xdr:rowOff>
    </xdr:to>
    <xdr:graphicFrame macro="">
      <xdr:nvGraphicFramePr>
        <xdr:cNvPr id="23" name="Kaavio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31750</xdr:colOff>
      <xdr:row>33</xdr:row>
      <xdr:rowOff>76200</xdr:rowOff>
    </xdr:from>
    <xdr:to>
      <xdr:col>8</xdr:col>
      <xdr:colOff>469900</xdr:colOff>
      <xdr:row>53</xdr:row>
      <xdr:rowOff>82550</xdr:rowOff>
    </xdr:to>
    <xdr:graphicFrame macro="">
      <xdr:nvGraphicFramePr>
        <xdr:cNvPr id="25" name="Kaavio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533399</xdr:colOff>
      <xdr:row>33</xdr:row>
      <xdr:rowOff>82550</xdr:rowOff>
    </xdr:from>
    <xdr:to>
      <xdr:col>4</xdr:col>
      <xdr:colOff>0</xdr:colOff>
      <xdr:row>53</xdr:row>
      <xdr:rowOff>69850</xdr:rowOff>
    </xdr:to>
    <xdr:graphicFrame macro="">
      <xdr:nvGraphicFramePr>
        <xdr:cNvPr id="27" name="Kaavio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55</xdr:row>
      <xdr:rowOff>57150</xdr:rowOff>
    </xdr:from>
    <xdr:to>
      <xdr:col>1</xdr:col>
      <xdr:colOff>488950</xdr:colOff>
      <xdr:row>84</xdr:row>
      <xdr:rowOff>114300</xdr:rowOff>
    </xdr:to>
    <xdr:graphicFrame macro="">
      <xdr:nvGraphicFramePr>
        <xdr:cNvPr id="28" name="Kaavio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50800</xdr:colOff>
      <xdr:row>55</xdr:row>
      <xdr:rowOff>66675</xdr:rowOff>
    </xdr:from>
    <xdr:to>
      <xdr:col>8</xdr:col>
      <xdr:colOff>511175</xdr:colOff>
      <xdr:row>84</xdr:row>
      <xdr:rowOff>101600</xdr:rowOff>
    </xdr:to>
    <xdr:graphicFrame macro="">
      <xdr:nvGraphicFramePr>
        <xdr:cNvPr id="29" name="Kaavio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584200</xdr:colOff>
      <xdr:row>55</xdr:row>
      <xdr:rowOff>66675</xdr:rowOff>
    </xdr:from>
    <xdr:to>
      <xdr:col>3</xdr:col>
      <xdr:colOff>596900</xdr:colOff>
      <xdr:row>84</xdr:row>
      <xdr:rowOff>117475</xdr:rowOff>
    </xdr:to>
    <xdr:graphicFrame macro="">
      <xdr:nvGraphicFramePr>
        <xdr:cNvPr id="30" name="Kaavio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86</xdr:row>
      <xdr:rowOff>158750</xdr:rowOff>
    </xdr:from>
    <xdr:to>
      <xdr:col>1</xdr:col>
      <xdr:colOff>431800</xdr:colOff>
      <xdr:row>103</xdr:row>
      <xdr:rowOff>107950</xdr:rowOff>
    </xdr:to>
    <xdr:graphicFrame macro="">
      <xdr:nvGraphicFramePr>
        <xdr:cNvPr id="31" name="Kaavio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88900</xdr:colOff>
      <xdr:row>86</xdr:row>
      <xdr:rowOff>139700</xdr:rowOff>
    </xdr:from>
    <xdr:to>
      <xdr:col>8</xdr:col>
      <xdr:colOff>539750</xdr:colOff>
      <xdr:row>103</xdr:row>
      <xdr:rowOff>88900</xdr:rowOff>
    </xdr:to>
    <xdr:graphicFrame macro="">
      <xdr:nvGraphicFramePr>
        <xdr:cNvPr id="36" name="Kaavio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508000</xdr:colOff>
      <xdr:row>86</xdr:row>
      <xdr:rowOff>146051</xdr:rowOff>
    </xdr:from>
    <xdr:to>
      <xdr:col>4</xdr:col>
      <xdr:colOff>38101</xdr:colOff>
      <xdr:row>103</xdr:row>
      <xdr:rowOff>88901</xdr:rowOff>
    </xdr:to>
    <xdr:graphicFrame macro="">
      <xdr:nvGraphicFramePr>
        <xdr:cNvPr id="37" name="Kaavio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28575</xdr:colOff>
      <xdr:row>0</xdr:row>
      <xdr:rowOff>0</xdr:rowOff>
    </xdr:from>
    <xdr:to>
      <xdr:col>2</xdr:col>
      <xdr:colOff>151759</xdr:colOff>
      <xdr:row>0</xdr:row>
      <xdr:rowOff>961905</xdr:rowOff>
    </xdr:to>
    <xdr:pic>
      <xdr:nvPicPr>
        <xdr:cNvPr id="2" name="Kuv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3"/>
        <a:stretch>
          <a:fillRect/>
        </a:stretch>
      </xdr:blipFill>
      <xdr:spPr>
        <a:xfrm>
          <a:off x="28575" y="0"/>
          <a:ext cx="5123809" cy="9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50800</xdr:rowOff>
    </xdr:from>
    <xdr:to>
      <xdr:col>1</xdr:col>
      <xdr:colOff>1676400</xdr:colOff>
      <xdr:row>28</xdr:row>
      <xdr:rowOff>12700</xdr:rowOff>
    </xdr:to>
    <xdr:graphicFrame macro="">
      <xdr:nvGraphicFramePr>
        <xdr:cNvPr id="2" name="Kaavi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29</xdr:row>
      <xdr:rowOff>25400</xdr:rowOff>
    </xdr:from>
    <xdr:to>
      <xdr:col>1</xdr:col>
      <xdr:colOff>1670050</xdr:colOff>
      <xdr:row>48</xdr:row>
      <xdr:rowOff>38099</xdr:rowOff>
    </xdr:to>
    <xdr:graphicFrame macro="">
      <xdr:nvGraphicFramePr>
        <xdr:cNvPr id="3" name="Kaavi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638175</xdr:colOff>
      <xdr:row>26</xdr:row>
      <xdr:rowOff>23812</xdr:rowOff>
    </xdr:from>
    <xdr:ext cx="65" cy="172227"/>
    <xdr:sp macro="" textlink="">
      <xdr:nvSpPr>
        <xdr:cNvPr id="4" name="Tekstiruutu 3">
          <a:extLst>
            <a:ext uri="{FF2B5EF4-FFF2-40B4-BE49-F238E27FC236}">
              <a16:creationId xmlns:a16="http://schemas.microsoft.com/office/drawing/2014/main" id="{00000000-0008-0000-0700-000004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i-FI" sz="1100"/>
        </a:p>
      </xdr:txBody>
    </xdr:sp>
    <xdr:clientData/>
  </xdr:oneCellAnchor>
  <xdr:twoCellAnchor>
    <xdr:from>
      <xdr:col>0</xdr:col>
      <xdr:colOff>15874</xdr:colOff>
      <xdr:row>49</xdr:row>
      <xdr:rowOff>9524</xdr:rowOff>
    </xdr:from>
    <xdr:to>
      <xdr:col>1</xdr:col>
      <xdr:colOff>1676400</xdr:colOff>
      <xdr:row>76</xdr:row>
      <xdr:rowOff>158750</xdr:rowOff>
    </xdr:to>
    <xdr:graphicFrame macro="">
      <xdr:nvGraphicFramePr>
        <xdr:cNvPr id="5" name="Kaavi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85084</xdr:colOff>
      <xdr:row>0</xdr:row>
      <xdr:rowOff>961905</xdr:rowOff>
    </xdr:to>
    <xdr:pic>
      <xdr:nvPicPr>
        <xdr:cNvPr id="6" name="Kuva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10</xdr:row>
      <xdr:rowOff>22224</xdr:rowOff>
    </xdr:from>
    <xdr:to>
      <xdr:col>1</xdr:col>
      <xdr:colOff>2286000</xdr:colOff>
      <xdr:row>28</xdr:row>
      <xdr:rowOff>25400</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28</xdr:row>
      <xdr:rowOff>152400</xdr:rowOff>
    </xdr:from>
    <xdr:to>
      <xdr:col>1</xdr:col>
      <xdr:colOff>2273300</xdr:colOff>
      <xdr:row>45</xdr:row>
      <xdr:rowOff>139700</xdr:rowOff>
    </xdr:to>
    <xdr:graphicFrame macro="">
      <xdr:nvGraphicFramePr>
        <xdr:cNvPr id="3" name="Kaavi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34925</xdr:colOff>
      <xdr:row>46</xdr:row>
      <xdr:rowOff>149224</xdr:rowOff>
    </xdr:from>
    <xdr:to>
      <xdr:col>1</xdr:col>
      <xdr:colOff>2266951</xdr:colOff>
      <xdr:row>69</xdr:row>
      <xdr:rowOff>6350</xdr:rowOff>
    </xdr:to>
    <xdr:graphicFrame macro="">
      <xdr:nvGraphicFramePr>
        <xdr:cNvPr id="4" name="Kaavi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208909</xdr:colOff>
      <xdr:row>0</xdr:row>
      <xdr:rowOff>961905</xdr:rowOff>
    </xdr:to>
    <xdr:pic>
      <xdr:nvPicPr>
        <xdr:cNvPr id="8" name="Kuva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73025</xdr:rowOff>
    </xdr:from>
    <xdr:to>
      <xdr:col>6</xdr:col>
      <xdr:colOff>530225</xdr:colOff>
      <xdr:row>34</xdr:row>
      <xdr:rowOff>57150</xdr:rowOff>
    </xdr:to>
    <xdr:graphicFrame macro="">
      <xdr:nvGraphicFramePr>
        <xdr:cNvPr id="2" name="Kaavi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11759</xdr:colOff>
      <xdr:row>17</xdr:row>
      <xdr:rowOff>75846</xdr:rowOff>
    </xdr:from>
    <xdr:to>
      <xdr:col>7</xdr:col>
      <xdr:colOff>0</xdr:colOff>
      <xdr:row>33</xdr:row>
      <xdr:rowOff>142521</xdr:rowOff>
    </xdr:to>
    <xdr:graphicFrame macro="">
      <xdr:nvGraphicFramePr>
        <xdr:cNvPr id="3" name="Kaavi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133350</xdr:rowOff>
    </xdr:from>
    <xdr:to>
      <xdr:col>6</xdr:col>
      <xdr:colOff>590550</xdr:colOff>
      <xdr:row>16</xdr:row>
      <xdr:rowOff>12700</xdr:rowOff>
    </xdr:to>
    <xdr:graphicFrame macro="">
      <xdr:nvGraphicFramePr>
        <xdr:cNvPr id="6" name="Kaavi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9</xdr:row>
      <xdr:rowOff>6350</xdr:rowOff>
    </xdr:from>
    <xdr:to>
      <xdr:col>1</xdr:col>
      <xdr:colOff>1720850</xdr:colOff>
      <xdr:row>35</xdr:row>
      <xdr:rowOff>19050</xdr:rowOff>
    </xdr:to>
    <xdr:graphicFrame macro="">
      <xdr:nvGraphicFramePr>
        <xdr:cNvPr id="2" name="Kaavio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37</xdr:row>
      <xdr:rowOff>38100</xdr:rowOff>
    </xdr:from>
    <xdr:to>
      <xdr:col>1</xdr:col>
      <xdr:colOff>1762125</xdr:colOff>
      <xdr:row>59</xdr:row>
      <xdr:rowOff>171450</xdr:rowOff>
    </xdr:to>
    <xdr:graphicFrame macro="">
      <xdr:nvGraphicFramePr>
        <xdr:cNvPr id="3" name="Kaavi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22225</xdr:colOff>
      <xdr:row>61</xdr:row>
      <xdr:rowOff>22224</xdr:rowOff>
    </xdr:from>
    <xdr:to>
      <xdr:col>1</xdr:col>
      <xdr:colOff>1771650</xdr:colOff>
      <xdr:row>90</xdr:row>
      <xdr:rowOff>171450</xdr:rowOff>
    </xdr:to>
    <xdr:graphicFrame macro="">
      <xdr:nvGraphicFramePr>
        <xdr:cNvPr id="4" name="Kaavi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161284</xdr:colOff>
      <xdr:row>0</xdr:row>
      <xdr:rowOff>961905</xdr:rowOff>
    </xdr:to>
    <xdr:pic>
      <xdr:nvPicPr>
        <xdr:cNvPr id="5" name="Kuva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25</xdr:row>
      <xdr:rowOff>12700</xdr:rowOff>
    </xdr:from>
    <xdr:to>
      <xdr:col>1</xdr:col>
      <xdr:colOff>2279650</xdr:colOff>
      <xdr:row>41</xdr:row>
      <xdr:rowOff>63500</xdr:rowOff>
    </xdr:to>
    <xdr:graphicFrame macro="">
      <xdr:nvGraphicFramePr>
        <xdr:cNvPr id="2" name="Kaavi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xdr:row>
      <xdr:rowOff>22225</xdr:rowOff>
    </xdr:from>
    <xdr:to>
      <xdr:col>1</xdr:col>
      <xdr:colOff>2286000</xdr:colOff>
      <xdr:row>24</xdr:row>
      <xdr:rowOff>9525</xdr:rowOff>
    </xdr:to>
    <xdr:graphicFrame macro="">
      <xdr:nvGraphicFramePr>
        <xdr:cNvPr id="3" name="Kaavi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3174</xdr:rowOff>
    </xdr:from>
    <xdr:to>
      <xdr:col>1</xdr:col>
      <xdr:colOff>2273300</xdr:colOff>
      <xdr:row>60</xdr:row>
      <xdr:rowOff>25399</xdr:rowOff>
    </xdr:to>
    <xdr:graphicFrame macro="">
      <xdr:nvGraphicFramePr>
        <xdr:cNvPr id="4" name="Kaavio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256534</xdr:colOff>
      <xdr:row>0</xdr:row>
      <xdr:rowOff>961905</xdr:rowOff>
    </xdr:to>
    <xdr:pic>
      <xdr:nvPicPr>
        <xdr:cNvPr id="7" name="Kuva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4"/>
        <a:stretch>
          <a:fillRect/>
        </a:stretch>
      </xdr:blipFill>
      <xdr:spPr>
        <a:xfrm>
          <a:off x="0" y="0"/>
          <a:ext cx="5123809" cy="9619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A5" totalsRowShown="0">
  <autoFilter ref="A1:A5" xr:uid="{00000000-0009-0000-0100-000002000000}"/>
  <tableColumns count="1">
    <tableColumn id="1" xr3:uid="{00000000-0010-0000-0000-000001000000}" name="Ventilation syste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ulukko3" displayName="Taulukko3" ref="A1:A5" totalsRowShown="0">
  <autoFilter ref="A1:A5" xr:uid="{00000000-0009-0000-0100-000003000000}"/>
  <tableColumns count="1">
    <tableColumn id="1" xr3:uid="{00000000-0010-0000-0100-000001000000}" name="Cooling syste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ulukko4" displayName="Taulukko4" ref="A1:A8" totalsRowShown="0" dataDxfId="44">
  <autoFilter ref="A1:A8" xr:uid="{00000000-0009-0000-0100-000004000000}"/>
  <tableColumns count="1">
    <tableColumn id="1" xr3:uid="{00000000-0010-0000-0200-000001000000}" name="Type of building"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ulukko5" displayName="Taulukko5" ref="A1:A6" totalsRowShown="0" headerRowDxfId="23" tableBorderDxfId="22">
  <autoFilter ref="A1:A6" xr:uid="{00000000-0009-0000-0100-000001000000}"/>
  <tableColumns count="1">
    <tableColumn id="1" xr3:uid="{00000000-0010-0000-0300-000001000000}" name="Heating system"/>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pageSetUpPr fitToPage="1"/>
  </sheetPr>
  <dimension ref="A1:K38"/>
  <sheetViews>
    <sheetView topLeftCell="C1" workbookViewId="0">
      <selection activeCell="C20" sqref="C20"/>
    </sheetView>
  </sheetViews>
  <sheetFormatPr defaultRowHeight="15" x14ac:dyDescent="0.25"/>
  <cols>
    <col min="1" max="1" width="38.5703125" customWidth="1"/>
    <col min="2" max="2" width="35" customWidth="1"/>
    <col min="3" max="3" width="24.5703125" customWidth="1"/>
    <col min="4" max="4" width="4.42578125" customWidth="1"/>
    <col min="5" max="5" width="25.140625" customWidth="1"/>
    <col min="6" max="6" width="3.85546875" style="11" customWidth="1"/>
    <col min="7" max="7" width="28.85546875" customWidth="1"/>
    <col min="8" max="8" width="3.7109375" customWidth="1"/>
    <col min="9" max="9" width="16.7109375" customWidth="1"/>
    <col min="10" max="10" width="2.42578125" style="11" customWidth="1"/>
    <col min="11" max="11" width="5.140625" customWidth="1"/>
  </cols>
  <sheetData>
    <row r="1" spans="1:11" ht="18.75" x14ac:dyDescent="0.3">
      <c r="A1" s="21" t="s">
        <v>4</v>
      </c>
      <c r="E1" s="2" t="s">
        <v>23</v>
      </c>
      <c r="G1" s="2" t="s">
        <v>24</v>
      </c>
    </row>
    <row r="2" spans="1:11" x14ac:dyDescent="0.25">
      <c r="A2" s="6" t="s">
        <v>19</v>
      </c>
      <c r="B2" s="6"/>
      <c r="E2" s="23" t="s">
        <v>26</v>
      </c>
      <c r="G2" s="23" t="s">
        <v>25</v>
      </c>
    </row>
    <row r="3" spans="1:11" x14ac:dyDescent="0.25">
      <c r="E3" s="2"/>
      <c r="F3" s="10"/>
      <c r="G3" s="2"/>
    </row>
    <row r="4" spans="1:11" x14ac:dyDescent="0.25">
      <c r="C4" s="2" t="s">
        <v>11</v>
      </c>
      <c r="D4" s="2"/>
      <c r="E4" s="2" t="s">
        <v>22</v>
      </c>
      <c r="F4" s="10"/>
      <c r="G4" s="2" t="s">
        <v>22</v>
      </c>
      <c r="I4" s="17" t="s">
        <v>10</v>
      </c>
      <c r="J4" s="17"/>
      <c r="K4" s="10" t="s">
        <v>21</v>
      </c>
    </row>
    <row r="5" spans="1:11" x14ac:dyDescent="0.25">
      <c r="A5" s="11"/>
      <c r="B5" s="12"/>
      <c r="C5" s="13" t="s">
        <v>9</v>
      </c>
      <c r="D5" s="13"/>
      <c r="E5" s="13"/>
      <c r="F5" s="12"/>
      <c r="K5" s="11"/>
    </row>
    <row r="6" spans="1:11" x14ac:dyDescent="0.25">
      <c r="A6" s="2" t="s">
        <v>3</v>
      </c>
      <c r="B6" s="4"/>
      <c r="C6" s="4">
        <f>G6+E6</f>
        <v>82000</v>
      </c>
      <c r="D6" s="4"/>
      <c r="E6" s="7">
        <v>-2500</v>
      </c>
      <c r="F6" s="12"/>
      <c r="G6" s="8">
        <v>84500</v>
      </c>
      <c r="I6" s="7">
        <v>640000</v>
      </c>
      <c r="J6" s="12"/>
      <c r="K6" s="14">
        <v>0.02</v>
      </c>
    </row>
    <row r="7" spans="1:11" x14ac:dyDescent="0.25">
      <c r="A7" s="2"/>
      <c r="B7" s="4"/>
      <c r="C7" s="4"/>
      <c r="D7" s="4"/>
      <c r="E7" s="7"/>
      <c r="F7" s="12"/>
      <c r="G7" s="8"/>
      <c r="I7" s="7"/>
      <c r="J7" s="12"/>
      <c r="K7" s="14"/>
    </row>
    <row r="8" spans="1:11" x14ac:dyDescent="0.25">
      <c r="A8" s="2" t="s">
        <v>18</v>
      </c>
      <c r="B8" s="4"/>
      <c r="C8" s="4">
        <v>10000</v>
      </c>
      <c r="D8" s="4"/>
      <c r="E8" s="7">
        <f>C8</f>
        <v>10000</v>
      </c>
      <c r="F8" s="12"/>
      <c r="G8" s="6"/>
      <c r="I8" s="7">
        <f>600*40</f>
        <v>24000</v>
      </c>
      <c r="J8" s="12"/>
      <c r="K8" s="14">
        <v>0.02</v>
      </c>
    </row>
    <row r="9" spans="1:11" x14ac:dyDescent="0.25">
      <c r="A9" s="2"/>
      <c r="B9" s="4"/>
      <c r="C9" s="4"/>
      <c r="D9" s="4"/>
      <c r="E9" s="7"/>
      <c r="F9" s="12"/>
      <c r="G9" s="6"/>
      <c r="I9" s="7"/>
      <c r="J9" s="12"/>
      <c r="K9" s="14"/>
    </row>
    <row r="10" spans="1:11" x14ac:dyDescent="0.25">
      <c r="A10" s="2" t="s">
        <v>7</v>
      </c>
      <c r="B10" s="4"/>
      <c r="C10" s="4">
        <v>8500</v>
      </c>
      <c r="D10" s="4"/>
      <c r="E10" s="7">
        <f>C10</f>
        <v>8500</v>
      </c>
      <c r="F10" s="12"/>
      <c r="G10" s="6"/>
      <c r="I10" s="7">
        <v>18000</v>
      </c>
      <c r="J10" s="12"/>
      <c r="K10" s="14">
        <v>0.02</v>
      </c>
    </row>
    <row r="11" spans="1:11" x14ac:dyDescent="0.25">
      <c r="A11" s="2"/>
      <c r="B11" s="4"/>
      <c r="C11" s="4"/>
      <c r="D11" s="4"/>
      <c r="E11" s="7"/>
      <c r="F11" s="12"/>
      <c r="G11" s="6"/>
      <c r="I11" s="7"/>
      <c r="J11" s="12"/>
      <c r="K11" s="14"/>
    </row>
    <row r="12" spans="1:11" x14ac:dyDescent="0.25">
      <c r="A12" s="2" t="s">
        <v>8</v>
      </c>
      <c r="B12" s="4"/>
      <c r="C12" s="4">
        <f>500*30</f>
        <v>15000</v>
      </c>
      <c r="D12" s="4"/>
      <c r="E12" s="6"/>
      <c r="F12" s="12"/>
      <c r="G12" s="7">
        <f>C12</f>
        <v>15000</v>
      </c>
      <c r="I12" s="7">
        <f>600*30</f>
        <v>18000</v>
      </c>
      <c r="J12" s="12"/>
      <c r="K12" s="14">
        <v>0.02</v>
      </c>
    </row>
    <row r="13" spans="1:11" x14ac:dyDescent="0.25">
      <c r="A13" s="2"/>
      <c r="B13" s="4"/>
      <c r="C13" s="4"/>
      <c r="D13" s="4"/>
      <c r="E13" s="7"/>
      <c r="F13" s="12"/>
      <c r="G13" s="6"/>
      <c r="I13" s="7"/>
      <c r="J13" s="12"/>
      <c r="K13" s="14"/>
    </row>
    <row r="14" spans="1:11" x14ac:dyDescent="0.25">
      <c r="A14" s="2" t="s">
        <v>2</v>
      </c>
      <c r="B14" s="4"/>
      <c r="C14" s="4">
        <v>200000</v>
      </c>
      <c r="D14" s="4"/>
      <c r="E14" s="7">
        <v>-100000</v>
      </c>
      <c r="F14" s="12"/>
      <c r="G14" s="8">
        <v>300000</v>
      </c>
      <c r="I14" s="7">
        <v>200000</v>
      </c>
      <c r="J14" s="12"/>
      <c r="K14" s="14">
        <v>0.02</v>
      </c>
    </row>
    <row r="15" spans="1:11" x14ac:dyDescent="0.25">
      <c r="A15" s="2"/>
      <c r="B15" s="4"/>
      <c r="C15" s="4"/>
      <c r="D15" s="4"/>
      <c r="E15" s="7"/>
      <c r="F15" s="12"/>
      <c r="G15" s="8"/>
      <c r="I15" s="7"/>
      <c r="J15" s="12"/>
      <c r="K15" s="14"/>
    </row>
    <row r="16" spans="1:11" x14ac:dyDescent="0.25">
      <c r="A16" s="2" t="s">
        <v>5</v>
      </c>
      <c r="B16" s="4"/>
      <c r="C16" s="4">
        <f>48*100*10*365/1000</f>
        <v>17520</v>
      </c>
      <c r="D16" s="4"/>
      <c r="E16" s="7">
        <f>C16</f>
        <v>17520</v>
      </c>
      <c r="F16" s="12"/>
      <c r="G16" s="8"/>
      <c r="I16" s="7">
        <f>100*10</f>
        <v>1000</v>
      </c>
      <c r="J16" s="12"/>
      <c r="K16" s="14">
        <v>0.02</v>
      </c>
    </row>
    <row r="17" spans="1:11" x14ac:dyDescent="0.25">
      <c r="A17" s="2"/>
      <c r="C17" s="4"/>
      <c r="D17" s="4"/>
      <c r="E17" s="7"/>
      <c r="F17" s="12"/>
      <c r="G17" s="8"/>
      <c r="I17" s="7"/>
      <c r="J17" s="12"/>
      <c r="K17" s="14"/>
    </row>
    <row r="18" spans="1:11" x14ac:dyDescent="0.25">
      <c r="A18" s="2" t="s">
        <v>6</v>
      </c>
      <c r="B18" s="4"/>
      <c r="C18" s="4">
        <f>0.2*400000</f>
        <v>80000</v>
      </c>
      <c r="D18" s="4"/>
      <c r="E18" s="7">
        <f>0.5*C18</f>
        <v>40000</v>
      </c>
      <c r="F18" s="12"/>
      <c r="G18" s="8">
        <f>0.5*C18</f>
        <v>40000</v>
      </c>
      <c r="I18" s="7">
        <v>10000</v>
      </c>
      <c r="J18" s="12"/>
      <c r="K18" s="14">
        <v>0.02</v>
      </c>
    </row>
    <row r="19" spans="1:11" x14ac:dyDescent="0.25">
      <c r="B19" s="4"/>
      <c r="C19" s="4"/>
      <c r="D19" s="4"/>
      <c r="E19" s="7"/>
      <c r="F19" s="12"/>
      <c r="G19" s="6"/>
      <c r="I19" s="7"/>
      <c r="J19" s="12"/>
      <c r="K19" s="14"/>
    </row>
    <row r="20" spans="1:11" x14ac:dyDescent="0.25">
      <c r="A20" s="19" t="s">
        <v>20</v>
      </c>
      <c r="B20" s="2"/>
      <c r="C20" s="18">
        <f>SUM(C6:C18)</f>
        <v>413020</v>
      </c>
      <c r="D20" s="18"/>
      <c r="E20" s="18">
        <f>SUM(E6:E18)</f>
        <v>-26480</v>
      </c>
      <c r="F20" s="9"/>
      <c r="G20" s="18">
        <f>SUM(G6:G18)</f>
        <v>439500</v>
      </c>
      <c r="I20" s="16">
        <f>I6+I8+I10+I12+I14+I16+I18</f>
        <v>911000</v>
      </c>
      <c r="J20" s="12"/>
      <c r="K20" s="22">
        <f>SUM(K6:K19)</f>
        <v>0.14000000000000001</v>
      </c>
    </row>
    <row r="21" spans="1:11" x14ac:dyDescent="0.25">
      <c r="B21" s="4"/>
    </row>
    <row r="22" spans="1:11" x14ac:dyDescent="0.25">
      <c r="B22" s="4"/>
    </row>
    <row r="28" spans="1:11" x14ac:dyDescent="0.25">
      <c r="A28" s="1"/>
      <c r="B28" s="4"/>
      <c r="C28" s="4"/>
      <c r="D28" s="4"/>
      <c r="E28" s="4"/>
      <c r="F28" s="12"/>
    </row>
    <row r="29" spans="1:11" x14ac:dyDescent="0.25">
      <c r="A29" s="1"/>
      <c r="B29" s="4"/>
      <c r="C29" s="4"/>
      <c r="D29" s="4"/>
      <c r="E29" s="4"/>
      <c r="F29" s="12"/>
    </row>
    <row r="30" spans="1:11" x14ac:dyDescent="0.25">
      <c r="B30" s="4"/>
      <c r="C30" s="4"/>
      <c r="D30" s="4"/>
      <c r="E30" s="4"/>
      <c r="F30" s="12"/>
    </row>
    <row r="31" spans="1:11" x14ac:dyDescent="0.25">
      <c r="B31" s="4"/>
      <c r="C31" s="4"/>
      <c r="D31" s="4"/>
      <c r="E31" s="12"/>
    </row>
    <row r="32" spans="1:11" x14ac:dyDescent="0.25">
      <c r="B32" s="4"/>
      <c r="C32" s="4"/>
      <c r="D32" s="4"/>
      <c r="E32" s="12"/>
      <c r="F32" s="12"/>
    </row>
    <row r="33" spans="2:5" x14ac:dyDescent="0.25">
      <c r="B33" s="4"/>
      <c r="C33" s="4"/>
      <c r="D33" s="4"/>
      <c r="E33" s="11"/>
    </row>
    <row r="34" spans="2:5" x14ac:dyDescent="0.25">
      <c r="E34" s="11"/>
    </row>
    <row r="38" spans="2:5" x14ac:dyDescent="0.25">
      <c r="B38" s="3"/>
    </row>
  </sheetData>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15"/>
  <sheetViews>
    <sheetView showGridLines="0" tabSelected="1" zoomScaleNormal="100" workbookViewId="0">
      <selection activeCell="T7" sqref="T7"/>
    </sheetView>
  </sheetViews>
  <sheetFormatPr defaultRowHeight="15" x14ac:dyDescent="0.25"/>
  <cols>
    <col min="1" max="1" width="8.7109375" customWidth="1"/>
  </cols>
  <sheetData>
    <row r="1" spans="1:35" s="39" customFormat="1" ht="77.099999999999994" customHeight="1" thickBot="1" x14ac:dyDescent="0.5">
      <c r="A1" s="210"/>
      <c r="B1" s="210"/>
      <c r="C1" s="210"/>
      <c r="D1" s="210"/>
      <c r="E1" s="210"/>
      <c r="F1" s="210"/>
      <c r="G1" s="210"/>
      <c r="H1" s="210"/>
      <c r="I1" s="210"/>
      <c r="J1" s="303" t="s">
        <v>306</v>
      </c>
      <c r="K1" s="210"/>
      <c r="L1" s="210"/>
      <c r="M1" s="210"/>
      <c r="N1" s="210"/>
      <c r="O1" s="210"/>
      <c r="P1" s="210"/>
      <c r="Q1" s="201"/>
      <c r="S1" s="155"/>
      <c r="T1" s="155"/>
      <c r="U1" s="155"/>
      <c r="V1" s="155"/>
      <c r="W1" s="155"/>
      <c r="X1" s="155"/>
      <c r="Y1" s="155"/>
      <c r="Z1" s="155"/>
      <c r="AA1" s="155"/>
      <c r="AB1" s="155"/>
      <c r="AC1" s="155"/>
      <c r="AD1" s="155"/>
      <c r="AE1" s="155"/>
      <c r="AF1" s="155"/>
      <c r="AG1" s="155"/>
      <c r="AH1" s="155"/>
      <c r="AI1" s="155"/>
    </row>
    <row r="2" spans="1:35" s="39" customFormat="1" ht="27" thickBot="1" x14ac:dyDescent="0.45">
      <c r="A2" s="292" t="s">
        <v>163</v>
      </c>
      <c r="B2" s="293"/>
      <c r="C2" s="293"/>
      <c r="D2" s="293"/>
      <c r="E2" s="293"/>
      <c r="F2" s="293"/>
      <c r="G2" s="293"/>
      <c r="H2" s="293"/>
      <c r="I2" s="293"/>
      <c r="J2" s="293"/>
      <c r="K2" s="293"/>
      <c r="L2" s="293"/>
      <c r="M2" s="293"/>
      <c r="N2" s="293"/>
      <c r="O2" s="293"/>
      <c r="P2" s="293"/>
      <c r="Q2" s="294"/>
      <c r="R2" s="155"/>
      <c r="S2" s="155"/>
      <c r="T2" s="155"/>
      <c r="U2" s="155"/>
      <c r="V2" s="155"/>
      <c r="W2" s="155"/>
      <c r="X2" s="155"/>
      <c r="Y2" s="155"/>
      <c r="Z2" s="155"/>
      <c r="AA2" s="155"/>
      <c r="AB2" s="155"/>
      <c r="AC2" s="155"/>
      <c r="AD2" s="155"/>
      <c r="AE2" s="155"/>
      <c r="AF2" s="155"/>
      <c r="AG2" s="155"/>
      <c r="AH2" s="155"/>
      <c r="AI2" s="155"/>
    </row>
    <row r="3" spans="1:35" s="39" customFormat="1" ht="15.75" thickBot="1" x14ac:dyDescent="0.3">
      <c r="A3" s="211"/>
      <c r="B3" s="211"/>
      <c r="C3" s="211"/>
      <c r="D3" s="211"/>
      <c r="E3" s="211"/>
      <c r="F3" s="211"/>
      <c r="G3" s="211"/>
      <c r="H3" s="211"/>
      <c r="I3" s="211"/>
      <c r="J3" s="211"/>
      <c r="K3" s="211"/>
      <c r="L3" s="211"/>
      <c r="M3" s="211"/>
      <c r="N3" s="211"/>
      <c r="O3" s="211"/>
      <c r="P3" s="211"/>
      <c r="Q3" s="155"/>
      <c r="R3" s="155"/>
      <c r="S3" s="155"/>
      <c r="T3" s="155"/>
      <c r="U3" s="155"/>
      <c r="V3" s="155"/>
      <c r="W3" s="155"/>
      <c r="X3" s="155"/>
      <c r="Y3" s="155"/>
      <c r="Z3" s="155"/>
      <c r="AA3" s="155"/>
      <c r="AB3" s="155"/>
      <c r="AC3" s="155"/>
      <c r="AD3" s="155"/>
      <c r="AE3" s="155"/>
      <c r="AF3" s="155"/>
      <c r="AG3" s="155"/>
      <c r="AH3" s="155"/>
      <c r="AI3" s="155"/>
    </row>
    <row r="4" spans="1:35" ht="19.5" thickBot="1" x14ac:dyDescent="0.3">
      <c r="A4" s="81" t="s">
        <v>164</v>
      </c>
      <c r="B4" s="82"/>
      <c r="C4" s="82"/>
      <c r="D4" s="82"/>
      <c r="E4" s="82"/>
      <c r="F4" s="82"/>
      <c r="G4" s="82"/>
      <c r="H4" s="82"/>
      <c r="I4" s="82"/>
      <c r="J4" s="82"/>
      <c r="K4" s="82"/>
      <c r="L4" s="82"/>
      <c r="M4" s="82"/>
      <c r="N4" s="82"/>
      <c r="O4" s="82"/>
      <c r="P4" s="82"/>
      <c r="Q4" s="76"/>
      <c r="R4" s="155"/>
      <c r="S4" s="155"/>
      <c r="T4" s="155"/>
      <c r="U4" s="155"/>
      <c r="V4" s="155"/>
      <c r="W4" s="155"/>
      <c r="X4" s="155"/>
      <c r="Y4" s="155"/>
      <c r="Z4" s="155"/>
      <c r="AA4" s="155"/>
      <c r="AB4" s="155"/>
      <c r="AC4" s="155"/>
      <c r="AD4" s="155"/>
      <c r="AE4" s="155"/>
      <c r="AF4" s="155"/>
      <c r="AG4" s="155"/>
      <c r="AH4" s="155"/>
      <c r="AI4" s="155"/>
    </row>
    <row r="5" spans="1:35" ht="15.75" thickBot="1" x14ac:dyDescent="0.3">
      <c r="A5" s="212"/>
      <c r="B5" s="211"/>
      <c r="C5" s="211"/>
      <c r="D5" s="211"/>
      <c r="E5" s="211"/>
      <c r="F5" s="211"/>
      <c r="G5" s="211"/>
      <c r="H5" s="211"/>
      <c r="I5" s="211"/>
      <c r="J5" s="211"/>
      <c r="K5" s="211"/>
      <c r="L5" s="211"/>
      <c r="M5" s="211"/>
      <c r="N5" s="211"/>
      <c r="O5" s="211"/>
      <c r="P5" s="211"/>
      <c r="Q5" s="155"/>
      <c r="R5" s="155"/>
      <c r="S5" s="155"/>
      <c r="T5" s="155"/>
      <c r="U5" s="155"/>
      <c r="V5" s="155"/>
      <c r="W5" s="155"/>
      <c r="X5" s="155"/>
      <c r="Y5" s="155"/>
      <c r="Z5" s="155"/>
      <c r="AA5" s="155"/>
      <c r="AB5" s="155"/>
      <c r="AC5" s="155"/>
      <c r="AD5" s="155"/>
      <c r="AE5" s="155"/>
      <c r="AF5" s="155"/>
      <c r="AG5" s="155"/>
      <c r="AH5" s="155"/>
      <c r="AI5" s="155"/>
    </row>
    <row r="6" spans="1:35" ht="18.75" x14ac:dyDescent="0.25">
      <c r="A6" s="83" t="s">
        <v>165</v>
      </c>
      <c r="B6" s="84"/>
      <c r="C6" s="84"/>
      <c r="D6" s="84"/>
      <c r="E6" s="84"/>
      <c r="F6" s="84"/>
      <c r="G6" s="84"/>
      <c r="H6" s="84"/>
      <c r="I6" s="84"/>
      <c r="J6" s="84"/>
      <c r="K6" s="84"/>
      <c r="L6" s="84"/>
      <c r="M6" s="84"/>
      <c r="N6" s="84"/>
      <c r="O6" s="84"/>
      <c r="P6" s="84"/>
      <c r="Q6" s="73"/>
      <c r="R6" s="155"/>
      <c r="S6" s="155"/>
      <c r="T6" s="155"/>
      <c r="U6" s="155"/>
      <c r="V6" s="155"/>
      <c r="W6" s="155"/>
      <c r="X6" s="155"/>
      <c r="Y6" s="155"/>
      <c r="Z6" s="155"/>
      <c r="AA6" s="155"/>
      <c r="AB6" s="155"/>
      <c r="AC6" s="155"/>
      <c r="AD6" s="155"/>
      <c r="AE6" s="155"/>
      <c r="AF6" s="155"/>
      <c r="AG6" s="155"/>
      <c r="AH6" s="155"/>
      <c r="AI6" s="155"/>
    </row>
    <row r="7" spans="1:35" s="39" customFormat="1" x14ac:dyDescent="0.25">
      <c r="A7" s="85"/>
      <c r="B7" s="86"/>
      <c r="C7" s="86"/>
      <c r="D7" s="86"/>
      <c r="E7" s="86"/>
      <c r="F7" s="86"/>
      <c r="G7" s="86"/>
      <c r="H7" s="86"/>
      <c r="I7" s="86"/>
      <c r="J7" s="86"/>
      <c r="K7" s="86"/>
      <c r="L7" s="86"/>
      <c r="M7" s="86"/>
      <c r="N7" s="86"/>
      <c r="O7" s="86"/>
      <c r="P7" s="86"/>
      <c r="Q7" s="74"/>
      <c r="R7" s="155"/>
      <c r="S7" s="155"/>
      <c r="T7" s="155"/>
      <c r="U7" s="155"/>
      <c r="V7" s="155"/>
      <c r="W7" s="155"/>
      <c r="X7" s="155"/>
      <c r="Y7" s="155"/>
      <c r="Z7" s="155"/>
      <c r="AA7" s="155"/>
      <c r="AB7" s="155"/>
      <c r="AC7" s="155"/>
      <c r="AD7" s="155"/>
      <c r="AE7" s="155"/>
      <c r="AF7" s="155"/>
      <c r="AG7" s="155"/>
      <c r="AH7" s="155"/>
      <c r="AI7" s="155"/>
    </row>
    <row r="8" spans="1:35" x14ac:dyDescent="0.25">
      <c r="A8" s="105" t="s">
        <v>265</v>
      </c>
      <c r="B8" s="86"/>
      <c r="C8" s="86"/>
      <c r="D8" s="86"/>
      <c r="E8" s="86"/>
      <c r="F8" s="86"/>
      <c r="G8" s="86"/>
      <c r="H8" s="86"/>
      <c r="I8" s="86"/>
      <c r="J8" s="86"/>
      <c r="K8" s="86"/>
      <c r="L8" s="86"/>
      <c r="M8" s="86"/>
      <c r="N8" s="86"/>
      <c r="O8" s="86"/>
      <c r="P8" s="86"/>
      <c r="Q8" s="74"/>
      <c r="R8" s="155"/>
      <c r="S8" s="155"/>
      <c r="T8" s="155"/>
      <c r="U8" s="155"/>
      <c r="V8" s="155"/>
      <c r="W8" s="155"/>
      <c r="X8" s="155"/>
      <c r="Y8" s="155"/>
      <c r="Z8" s="155"/>
      <c r="AA8" s="155"/>
      <c r="AB8" s="155"/>
      <c r="AC8" s="155"/>
      <c r="AD8" s="155"/>
      <c r="AE8" s="155"/>
      <c r="AF8" s="155"/>
      <c r="AG8" s="155"/>
      <c r="AH8" s="155"/>
      <c r="AI8" s="155"/>
    </row>
    <row r="9" spans="1:35" s="39" customFormat="1" x14ac:dyDescent="0.25">
      <c r="A9" s="105"/>
      <c r="B9" s="86"/>
      <c r="C9" s="86"/>
      <c r="D9" s="86"/>
      <c r="E9" s="86"/>
      <c r="F9" s="86"/>
      <c r="G9" s="86"/>
      <c r="H9" s="86"/>
      <c r="I9" s="86"/>
      <c r="J9" s="86"/>
      <c r="K9" s="86"/>
      <c r="L9" s="86"/>
      <c r="M9" s="86"/>
      <c r="N9" s="86"/>
      <c r="O9" s="86"/>
      <c r="P9" s="86"/>
      <c r="Q9" s="74"/>
      <c r="R9" s="155"/>
      <c r="S9" s="155"/>
      <c r="T9" s="155"/>
      <c r="U9" s="155"/>
      <c r="V9" s="155"/>
      <c r="W9" s="155"/>
      <c r="X9" s="155"/>
      <c r="Y9" s="155"/>
      <c r="Z9" s="155"/>
      <c r="AA9" s="155"/>
      <c r="AB9" s="155"/>
      <c r="AC9" s="155"/>
      <c r="AD9" s="155"/>
      <c r="AE9" s="155"/>
      <c r="AF9" s="155"/>
      <c r="AG9" s="155"/>
      <c r="AH9" s="155"/>
      <c r="AI9" s="155"/>
    </row>
    <row r="10" spans="1:35" x14ac:dyDescent="0.25">
      <c r="A10" s="105" t="s">
        <v>178</v>
      </c>
      <c r="B10" s="86"/>
      <c r="C10" s="86"/>
      <c r="D10" s="86"/>
      <c r="E10" s="86"/>
      <c r="F10" s="86"/>
      <c r="G10" s="86"/>
      <c r="H10" s="86"/>
      <c r="I10" s="86"/>
      <c r="J10" s="86"/>
      <c r="K10" s="86"/>
      <c r="L10" s="86"/>
      <c r="M10" s="86"/>
      <c r="N10" s="86"/>
      <c r="O10" s="86"/>
      <c r="P10" s="86"/>
      <c r="Q10" s="74"/>
      <c r="R10" s="155"/>
      <c r="S10" s="155"/>
      <c r="T10" s="155"/>
      <c r="U10" s="155"/>
      <c r="V10" s="155"/>
      <c r="W10" s="155"/>
      <c r="X10" s="155"/>
      <c r="Y10" s="155"/>
      <c r="Z10" s="155"/>
      <c r="AA10" s="155"/>
      <c r="AB10" s="155"/>
      <c r="AC10" s="155"/>
      <c r="AD10" s="155"/>
      <c r="AE10" s="155"/>
      <c r="AF10" s="155"/>
      <c r="AG10" s="155"/>
      <c r="AH10" s="155"/>
      <c r="AI10" s="155"/>
    </row>
    <row r="11" spans="1:35" s="39" customFormat="1" x14ac:dyDescent="0.25">
      <c r="A11" s="105"/>
      <c r="B11" s="86"/>
      <c r="C11" s="86"/>
      <c r="D11" s="86"/>
      <c r="E11" s="86"/>
      <c r="F11" s="86"/>
      <c r="G11" s="86"/>
      <c r="H11" s="86"/>
      <c r="I11" s="86"/>
      <c r="J11" s="86"/>
      <c r="K11" s="86"/>
      <c r="L11" s="86"/>
      <c r="M11" s="86"/>
      <c r="N11" s="86"/>
      <c r="O11" s="86"/>
      <c r="P11" s="86"/>
      <c r="Q11" s="74"/>
      <c r="R11" s="155"/>
      <c r="S11" s="155"/>
      <c r="T11" s="155"/>
      <c r="U11" s="155"/>
      <c r="V11" s="155"/>
      <c r="W11" s="155"/>
      <c r="X11" s="155"/>
      <c r="Y11" s="155"/>
      <c r="Z11" s="155"/>
      <c r="AA11" s="155"/>
      <c r="AB11" s="155"/>
      <c r="AC11" s="155"/>
      <c r="AD11" s="155"/>
      <c r="AE11" s="155"/>
      <c r="AF11" s="155"/>
      <c r="AG11" s="155"/>
      <c r="AH11" s="155"/>
      <c r="AI11" s="155"/>
    </row>
    <row r="12" spans="1:35" s="39" customFormat="1" x14ac:dyDescent="0.25">
      <c r="A12" s="102" t="s">
        <v>232</v>
      </c>
      <c r="B12" s="86"/>
      <c r="C12" s="86"/>
      <c r="D12" s="86"/>
      <c r="E12" s="86"/>
      <c r="F12" s="86"/>
      <c r="G12" s="86"/>
      <c r="H12" s="86"/>
      <c r="I12" s="86"/>
      <c r="J12" s="86"/>
      <c r="K12" s="86"/>
      <c r="L12" s="86"/>
      <c r="M12" s="86"/>
      <c r="N12" s="86"/>
      <c r="O12" s="86"/>
      <c r="P12" s="86"/>
      <c r="Q12" s="74"/>
      <c r="R12" s="155"/>
      <c r="S12" s="155"/>
      <c r="T12" s="155"/>
      <c r="U12" s="155"/>
      <c r="V12" s="155"/>
      <c r="W12" s="155"/>
      <c r="X12" s="155"/>
      <c r="Y12" s="155"/>
      <c r="Z12" s="155"/>
      <c r="AA12" s="155"/>
      <c r="AB12" s="155"/>
      <c r="AC12" s="155"/>
      <c r="AD12" s="155"/>
      <c r="AE12" s="155"/>
      <c r="AF12" s="155"/>
      <c r="AG12" s="155"/>
      <c r="AH12" s="155"/>
      <c r="AI12" s="155"/>
    </row>
    <row r="13" spans="1:35" s="39" customFormat="1" x14ac:dyDescent="0.25">
      <c r="A13" s="102"/>
      <c r="B13" s="86"/>
      <c r="C13" s="86"/>
      <c r="D13" s="86"/>
      <c r="E13" s="86"/>
      <c r="F13" s="86"/>
      <c r="G13" s="86"/>
      <c r="H13" s="86"/>
      <c r="I13" s="86"/>
      <c r="J13" s="86"/>
      <c r="K13" s="86"/>
      <c r="L13" s="86"/>
      <c r="M13" s="86"/>
      <c r="N13" s="86"/>
      <c r="O13" s="86"/>
      <c r="P13" s="86"/>
      <c r="Q13" s="74"/>
      <c r="R13" s="155"/>
      <c r="S13" s="155"/>
      <c r="T13" s="155"/>
      <c r="U13" s="155"/>
      <c r="V13" s="155"/>
      <c r="W13" s="155"/>
      <c r="X13" s="155"/>
      <c r="Y13" s="155"/>
      <c r="Z13" s="155"/>
      <c r="AA13" s="155"/>
      <c r="AB13" s="155"/>
      <c r="AC13" s="155"/>
      <c r="AD13" s="155"/>
      <c r="AE13" s="155"/>
      <c r="AF13" s="155"/>
      <c r="AG13" s="155"/>
      <c r="AH13" s="155"/>
      <c r="AI13" s="155"/>
    </row>
    <row r="14" spans="1:35" s="39" customFormat="1" x14ac:dyDescent="0.25">
      <c r="A14" s="102" t="s">
        <v>253</v>
      </c>
      <c r="B14" s="86"/>
      <c r="C14" s="86"/>
      <c r="D14" s="86"/>
      <c r="E14" s="86"/>
      <c r="F14" s="86"/>
      <c r="G14" s="86"/>
      <c r="H14" s="86"/>
      <c r="I14" s="86"/>
      <c r="J14" s="86"/>
      <c r="K14" s="86"/>
      <c r="L14" s="86"/>
      <c r="M14" s="86"/>
      <c r="N14" s="86"/>
      <c r="O14" s="86"/>
      <c r="P14" s="86"/>
      <c r="Q14" s="74"/>
      <c r="R14" s="155"/>
      <c r="S14" s="155"/>
      <c r="T14" s="155"/>
      <c r="U14" s="155"/>
      <c r="V14" s="155"/>
      <c r="W14" s="155"/>
      <c r="X14" s="155"/>
      <c r="Y14" s="155"/>
      <c r="Z14" s="155"/>
      <c r="AA14" s="155"/>
      <c r="AB14" s="155"/>
      <c r="AC14" s="155"/>
      <c r="AD14" s="155"/>
      <c r="AE14" s="155"/>
      <c r="AF14" s="155"/>
      <c r="AG14" s="155"/>
      <c r="AH14" s="155"/>
      <c r="AI14" s="155"/>
    </row>
    <row r="15" spans="1:35" s="39" customFormat="1" x14ac:dyDescent="0.25">
      <c r="A15" s="102"/>
      <c r="B15" s="86"/>
      <c r="C15" s="86"/>
      <c r="D15" s="86"/>
      <c r="E15" s="86"/>
      <c r="F15" s="86"/>
      <c r="G15" s="86"/>
      <c r="H15" s="86"/>
      <c r="I15" s="86"/>
      <c r="J15" s="86"/>
      <c r="K15" s="86"/>
      <c r="L15" s="86"/>
      <c r="M15" s="86"/>
      <c r="N15" s="86"/>
      <c r="O15" s="86"/>
      <c r="P15" s="86"/>
      <c r="Q15" s="74"/>
      <c r="R15" s="155"/>
      <c r="S15" s="155"/>
      <c r="T15" s="155"/>
      <c r="U15" s="155"/>
      <c r="V15" s="155"/>
      <c r="W15" s="155"/>
      <c r="X15" s="155"/>
      <c r="Y15" s="155"/>
      <c r="Z15" s="155"/>
      <c r="AA15" s="155"/>
      <c r="AB15" s="155"/>
      <c r="AC15" s="155"/>
      <c r="AD15" s="155"/>
      <c r="AE15" s="155"/>
      <c r="AF15" s="155"/>
      <c r="AG15" s="155"/>
      <c r="AH15" s="155"/>
      <c r="AI15" s="155"/>
    </row>
    <row r="16" spans="1:35" s="39" customFormat="1" x14ac:dyDescent="0.25">
      <c r="A16" s="150" t="s">
        <v>266</v>
      </c>
      <c r="B16" s="86"/>
      <c r="C16" s="86"/>
      <c r="D16" s="86"/>
      <c r="E16" s="86"/>
      <c r="F16" s="86"/>
      <c r="G16" s="86"/>
      <c r="H16" s="86"/>
      <c r="I16" s="86"/>
      <c r="J16" s="86"/>
      <c r="K16" s="86"/>
      <c r="L16" s="86"/>
      <c r="M16" s="86"/>
      <c r="N16" s="86"/>
      <c r="O16" s="86"/>
      <c r="P16" s="86"/>
      <c r="Q16" s="74"/>
      <c r="R16" s="155"/>
      <c r="S16" s="155"/>
      <c r="T16" s="155"/>
      <c r="U16" s="155"/>
      <c r="V16" s="155"/>
      <c r="W16" s="155"/>
      <c r="X16" s="155"/>
      <c r="Y16" s="155"/>
      <c r="Z16" s="155"/>
      <c r="AA16" s="155"/>
      <c r="AB16" s="155"/>
      <c r="AC16" s="155"/>
      <c r="AD16" s="155"/>
      <c r="AE16" s="155"/>
      <c r="AF16" s="155"/>
      <c r="AG16" s="155"/>
      <c r="AH16" s="155"/>
      <c r="AI16" s="155"/>
    </row>
    <row r="17" spans="1:35" x14ac:dyDescent="0.25">
      <c r="A17" s="88" t="s">
        <v>168</v>
      </c>
      <c r="B17" s="86"/>
      <c r="C17" s="86"/>
      <c r="D17" s="86"/>
      <c r="E17" s="86"/>
      <c r="F17" s="86"/>
      <c r="G17" s="86"/>
      <c r="H17" s="86"/>
      <c r="I17" s="86"/>
      <c r="J17" s="86"/>
      <c r="K17" s="86"/>
      <c r="L17" s="86"/>
      <c r="M17" s="86"/>
      <c r="N17" s="86"/>
      <c r="O17" s="86"/>
      <c r="P17" s="86"/>
      <c r="Q17" s="74"/>
      <c r="R17" s="155"/>
      <c r="S17" s="155"/>
      <c r="T17" s="155"/>
      <c r="U17" s="155"/>
      <c r="V17" s="155"/>
      <c r="W17" s="155"/>
      <c r="X17" s="155"/>
      <c r="Y17" s="155"/>
      <c r="Z17" s="155"/>
      <c r="AA17" s="155"/>
      <c r="AB17" s="155"/>
      <c r="AC17" s="155"/>
      <c r="AD17" s="155"/>
      <c r="AE17" s="155"/>
      <c r="AF17" s="155"/>
      <c r="AG17" s="155"/>
      <c r="AH17" s="155"/>
      <c r="AI17" s="155"/>
    </row>
    <row r="18" spans="1:35" ht="15.95" customHeight="1" x14ac:dyDescent="0.25">
      <c r="A18" s="87"/>
      <c r="B18" s="86"/>
      <c r="C18" s="86"/>
      <c r="D18" s="86"/>
      <c r="E18" s="86"/>
      <c r="F18" s="86"/>
      <c r="G18" s="86"/>
      <c r="H18" s="86"/>
      <c r="I18" s="86"/>
      <c r="J18" s="86"/>
      <c r="K18" s="86"/>
      <c r="L18" s="86"/>
      <c r="M18" s="86"/>
      <c r="N18" s="86"/>
      <c r="O18" s="86"/>
      <c r="P18" s="86"/>
      <c r="Q18" s="74"/>
      <c r="R18" s="155"/>
      <c r="S18" s="155"/>
      <c r="T18" s="155"/>
      <c r="U18" s="155"/>
      <c r="V18" s="155"/>
      <c r="W18" s="155"/>
      <c r="X18" s="155"/>
      <c r="Y18" s="155"/>
      <c r="Z18" s="155"/>
      <c r="AA18" s="155"/>
      <c r="AB18" s="155"/>
      <c r="AC18" s="155"/>
      <c r="AD18" s="155"/>
      <c r="AE18" s="155"/>
      <c r="AF18" s="155"/>
      <c r="AG18" s="155"/>
      <c r="AH18" s="155"/>
      <c r="AI18" s="155"/>
    </row>
    <row r="19" spans="1:35" x14ac:dyDescent="0.25">
      <c r="A19" s="88" t="s">
        <v>263</v>
      </c>
      <c r="B19" s="86"/>
      <c r="C19" s="86"/>
      <c r="D19" s="86"/>
      <c r="E19" s="86"/>
      <c r="F19" s="86"/>
      <c r="G19" s="86"/>
      <c r="H19" s="86"/>
      <c r="I19" s="86"/>
      <c r="J19" s="86"/>
      <c r="K19" s="86"/>
      <c r="L19" s="86"/>
      <c r="M19" s="86"/>
      <c r="N19" s="86"/>
      <c r="O19" s="86"/>
      <c r="P19" s="86"/>
      <c r="Q19" s="74"/>
      <c r="R19" s="155"/>
      <c r="S19" s="155"/>
      <c r="T19" s="155"/>
      <c r="U19" s="155"/>
      <c r="V19" s="155"/>
      <c r="W19" s="155"/>
      <c r="X19" s="155"/>
      <c r="Y19" s="155"/>
      <c r="Z19" s="155"/>
      <c r="AA19" s="155"/>
      <c r="AB19" s="155"/>
      <c r="AC19" s="155"/>
      <c r="AD19" s="155"/>
      <c r="AE19" s="155"/>
      <c r="AF19" s="155"/>
      <c r="AG19" s="155"/>
      <c r="AH19" s="155"/>
      <c r="AI19" s="155"/>
    </row>
    <row r="20" spans="1:35" x14ac:dyDescent="0.25">
      <c r="A20" s="88" t="s">
        <v>162</v>
      </c>
      <c r="B20" s="86"/>
      <c r="C20" s="86"/>
      <c r="D20" s="86"/>
      <c r="E20" s="86"/>
      <c r="F20" s="86"/>
      <c r="G20" s="86"/>
      <c r="H20" s="86"/>
      <c r="I20" s="86"/>
      <c r="J20" s="86"/>
      <c r="K20" s="86"/>
      <c r="L20" s="86"/>
      <c r="M20" s="86"/>
      <c r="N20" s="86"/>
      <c r="O20" s="86"/>
      <c r="P20" s="86"/>
      <c r="Q20" s="74"/>
      <c r="R20" s="155"/>
      <c r="S20" s="155"/>
      <c r="T20" s="155"/>
      <c r="U20" s="155"/>
      <c r="V20" s="155"/>
      <c r="W20" s="155"/>
      <c r="X20" s="155"/>
      <c r="Y20" s="155"/>
      <c r="Z20" s="155"/>
      <c r="AA20" s="155"/>
      <c r="AB20" s="155"/>
      <c r="AC20" s="155"/>
      <c r="AD20" s="155"/>
      <c r="AE20" s="155"/>
      <c r="AF20" s="155"/>
      <c r="AG20" s="155"/>
      <c r="AH20" s="155"/>
      <c r="AI20" s="155"/>
    </row>
    <row r="21" spans="1:35" x14ac:dyDescent="0.25">
      <c r="A21" s="87"/>
      <c r="B21" s="86"/>
      <c r="C21" s="86"/>
      <c r="D21" s="86"/>
      <c r="E21" s="86"/>
      <c r="F21" s="86"/>
      <c r="G21" s="86"/>
      <c r="H21" s="86"/>
      <c r="I21" s="86"/>
      <c r="J21" s="86"/>
      <c r="K21" s="86"/>
      <c r="L21" s="86"/>
      <c r="M21" s="86"/>
      <c r="N21" s="86"/>
      <c r="O21" s="86"/>
      <c r="P21" s="86"/>
      <c r="Q21" s="74"/>
      <c r="R21" s="155"/>
      <c r="S21" s="155"/>
      <c r="T21" s="155"/>
      <c r="U21" s="155"/>
      <c r="V21" s="155"/>
      <c r="W21" s="155"/>
      <c r="X21" s="155"/>
      <c r="Y21" s="155"/>
      <c r="Z21" s="155"/>
      <c r="AA21" s="155"/>
      <c r="AB21" s="155"/>
      <c r="AC21" s="155"/>
      <c r="AD21" s="155"/>
      <c r="AE21" s="155"/>
      <c r="AF21" s="155"/>
      <c r="AG21" s="155"/>
      <c r="AH21" s="155"/>
      <c r="AI21" s="155"/>
    </row>
    <row r="22" spans="1:35" x14ac:dyDescent="0.25">
      <c r="A22" s="88" t="s">
        <v>169</v>
      </c>
      <c r="B22" s="86"/>
      <c r="C22" s="86"/>
      <c r="D22" s="86"/>
      <c r="E22" s="86"/>
      <c r="F22" s="86"/>
      <c r="G22" s="86"/>
      <c r="H22" s="86"/>
      <c r="I22" s="86"/>
      <c r="J22" s="86"/>
      <c r="K22" s="86"/>
      <c r="L22" s="86"/>
      <c r="M22" s="86"/>
      <c r="N22" s="86"/>
      <c r="O22" s="86"/>
      <c r="P22" s="86"/>
      <c r="Q22" s="74"/>
      <c r="R22" s="155"/>
      <c r="S22" s="155"/>
      <c r="T22" s="155"/>
      <c r="U22" s="155"/>
      <c r="V22" s="155"/>
      <c r="W22" s="155"/>
      <c r="X22" s="155"/>
      <c r="Y22" s="155"/>
      <c r="Z22" s="155"/>
      <c r="AA22" s="155"/>
      <c r="AB22" s="155"/>
      <c r="AC22" s="155"/>
      <c r="AD22" s="155"/>
      <c r="AE22" s="155"/>
      <c r="AF22" s="155"/>
      <c r="AG22" s="155"/>
      <c r="AH22" s="155"/>
      <c r="AI22" s="155"/>
    </row>
    <row r="23" spans="1:35" x14ac:dyDescent="0.25">
      <c r="A23" s="88" t="s">
        <v>190</v>
      </c>
      <c r="B23" s="86"/>
      <c r="C23" s="86"/>
      <c r="D23" s="86"/>
      <c r="E23" s="86"/>
      <c r="F23" s="86"/>
      <c r="G23" s="86"/>
      <c r="H23" s="86"/>
      <c r="I23" s="86"/>
      <c r="J23" s="86"/>
      <c r="K23" s="86"/>
      <c r="L23" s="86"/>
      <c r="M23" s="86"/>
      <c r="N23" s="86"/>
      <c r="O23" s="86"/>
      <c r="P23" s="86"/>
      <c r="Q23" s="74"/>
      <c r="R23" s="155"/>
      <c r="S23" s="155"/>
      <c r="T23" s="155"/>
      <c r="U23" s="155"/>
      <c r="V23" s="155"/>
      <c r="W23" s="155"/>
      <c r="X23" s="155"/>
      <c r="Y23" s="155"/>
      <c r="Z23" s="155"/>
      <c r="AA23" s="155"/>
      <c r="AB23" s="155"/>
      <c r="AC23" s="155"/>
      <c r="AD23" s="155"/>
      <c r="AE23" s="155"/>
      <c r="AF23" s="155"/>
      <c r="AG23" s="155"/>
      <c r="AH23" s="155"/>
      <c r="AI23" s="155"/>
    </row>
    <row r="24" spans="1:35" x14ac:dyDescent="0.25">
      <c r="A24" s="88"/>
      <c r="B24" s="86"/>
      <c r="C24" s="86"/>
      <c r="D24" s="86"/>
      <c r="E24" s="86"/>
      <c r="F24" s="86"/>
      <c r="G24" s="86"/>
      <c r="H24" s="86"/>
      <c r="I24" s="86"/>
      <c r="J24" s="86"/>
      <c r="K24" s="86"/>
      <c r="L24" s="86"/>
      <c r="M24" s="86"/>
      <c r="N24" s="86"/>
      <c r="O24" s="86"/>
      <c r="P24" s="86"/>
      <c r="Q24" s="74"/>
      <c r="R24" s="155"/>
      <c r="S24" s="155"/>
      <c r="T24" s="155"/>
      <c r="U24" s="155"/>
      <c r="V24" s="155"/>
      <c r="W24" s="155"/>
      <c r="X24" s="155"/>
      <c r="Y24" s="155"/>
      <c r="Z24" s="155"/>
      <c r="AA24" s="155"/>
      <c r="AB24" s="155"/>
      <c r="AC24" s="155"/>
      <c r="AD24" s="155"/>
      <c r="AE24" s="155"/>
      <c r="AF24" s="155"/>
      <c r="AG24" s="155"/>
      <c r="AH24" s="155"/>
      <c r="AI24" s="155"/>
    </row>
    <row r="25" spans="1:35" x14ac:dyDescent="0.25">
      <c r="A25" s="88" t="s">
        <v>264</v>
      </c>
      <c r="B25" s="86"/>
      <c r="C25" s="86"/>
      <c r="D25" s="86"/>
      <c r="E25" s="86"/>
      <c r="F25" s="86"/>
      <c r="G25" s="86"/>
      <c r="H25" s="86"/>
      <c r="I25" s="86"/>
      <c r="J25" s="86"/>
      <c r="K25" s="86"/>
      <c r="L25" s="86"/>
      <c r="M25" s="86"/>
      <c r="N25" s="86"/>
      <c r="O25" s="86"/>
      <c r="P25" s="86"/>
      <c r="Q25" s="74"/>
      <c r="R25" s="155"/>
      <c r="S25" s="155"/>
      <c r="T25" s="155"/>
      <c r="U25" s="155"/>
      <c r="V25" s="155"/>
      <c r="W25" s="155"/>
      <c r="X25" s="155"/>
      <c r="Y25" s="155"/>
      <c r="Z25" s="155"/>
      <c r="AA25" s="155"/>
      <c r="AB25" s="155"/>
      <c r="AC25" s="155"/>
      <c r="AD25" s="155"/>
      <c r="AE25" s="155"/>
      <c r="AF25" s="155"/>
      <c r="AG25" s="155"/>
      <c r="AH25" s="155"/>
      <c r="AI25" s="155"/>
    </row>
    <row r="26" spans="1:35" x14ac:dyDescent="0.25">
      <c r="A26" s="88"/>
      <c r="B26" s="86"/>
      <c r="C26" s="86"/>
      <c r="D26" s="86"/>
      <c r="E26" s="86"/>
      <c r="F26" s="86"/>
      <c r="G26" s="86"/>
      <c r="H26" s="86"/>
      <c r="I26" s="86"/>
      <c r="J26" s="152"/>
      <c r="K26" s="86"/>
      <c r="L26" s="86"/>
      <c r="M26" s="86"/>
      <c r="N26" s="86"/>
      <c r="O26" s="86"/>
      <c r="P26" s="86"/>
      <c r="Q26" s="74"/>
      <c r="R26" s="155"/>
      <c r="S26" s="155"/>
      <c r="T26" s="155"/>
      <c r="U26" s="155"/>
      <c r="V26" s="155"/>
      <c r="W26" s="155"/>
      <c r="X26" s="155"/>
      <c r="Y26" s="155"/>
      <c r="Z26" s="155"/>
      <c r="AA26" s="155"/>
      <c r="AB26" s="155"/>
      <c r="AC26" s="155"/>
      <c r="AD26" s="155"/>
      <c r="AE26" s="155"/>
      <c r="AF26" s="155"/>
      <c r="AG26" s="155"/>
      <c r="AH26" s="155"/>
      <c r="AI26" s="155"/>
    </row>
    <row r="27" spans="1:35" x14ac:dyDescent="0.25">
      <c r="A27" s="88" t="s">
        <v>254</v>
      </c>
      <c r="B27" s="86"/>
      <c r="C27" s="86"/>
      <c r="D27" s="86"/>
      <c r="E27" s="86"/>
      <c r="F27" s="86"/>
      <c r="G27" s="86"/>
      <c r="H27" s="86"/>
      <c r="I27" s="86"/>
      <c r="J27" s="152"/>
      <c r="K27" s="86"/>
      <c r="L27" s="86"/>
      <c r="M27" s="86"/>
      <c r="N27" s="86"/>
      <c r="O27" s="86"/>
      <c r="P27" s="86"/>
      <c r="Q27" s="74"/>
      <c r="R27" s="155"/>
      <c r="S27" s="155"/>
      <c r="T27" s="155"/>
      <c r="U27" s="155"/>
      <c r="V27" s="155"/>
      <c r="W27" s="155"/>
      <c r="X27" s="155"/>
      <c r="Y27" s="155"/>
      <c r="Z27" s="155"/>
      <c r="AA27" s="155"/>
      <c r="AB27" s="155"/>
      <c r="AC27" s="155"/>
      <c r="AD27" s="155"/>
      <c r="AE27" s="155"/>
      <c r="AF27" s="155"/>
      <c r="AG27" s="155"/>
      <c r="AH27" s="155"/>
      <c r="AI27" s="155"/>
    </row>
    <row r="28" spans="1:35" x14ac:dyDescent="0.25">
      <c r="A28" s="88" t="s">
        <v>255</v>
      </c>
      <c r="B28" s="86"/>
      <c r="C28" s="86"/>
      <c r="D28" s="86"/>
      <c r="E28" s="86"/>
      <c r="F28" s="86"/>
      <c r="G28" s="86"/>
      <c r="H28" s="86"/>
      <c r="I28" s="86"/>
      <c r="J28" s="152"/>
      <c r="K28" s="86"/>
      <c r="L28" s="86"/>
      <c r="M28" s="86"/>
      <c r="N28" s="86"/>
      <c r="O28" s="86"/>
      <c r="P28" s="86"/>
      <c r="Q28" s="74"/>
      <c r="R28" s="155"/>
      <c r="S28" s="155"/>
      <c r="T28" s="155"/>
      <c r="U28" s="155"/>
      <c r="V28" s="155"/>
      <c r="W28" s="155"/>
      <c r="X28" s="155"/>
      <c r="Y28" s="155"/>
      <c r="Z28" s="155"/>
      <c r="AA28" s="155"/>
      <c r="AB28" s="155"/>
      <c r="AC28" s="155"/>
      <c r="AD28" s="155"/>
      <c r="AE28" s="155"/>
      <c r="AF28" s="155"/>
      <c r="AG28" s="155"/>
      <c r="AH28" s="155"/>
      <c r="AI28" s="155"/>
    </row>
    <row r="29" spans="1:35" s="39" customFormat="1" x14ac:dyDescent="0.25">
      <c r="A29" s="88"/>
      <c r="B29" s="86"/>
      <c r="C29" s="86"/>
      <c r="D29" s="86"/>
      <c r="E29" s="86"/>
      <c r="F29" s="86"/>
      <c r="G29" s="86"/>
      <c r="H29" s="86"/>
      <c r="I29" s="86"/>
      <c r="J29" s="152"/>
      <c r="K29" s="86"/>
      <c r="L29" s="86"/>
      <c r="M29" s="86"/>
      <c r="N29" s="86"/>
      <c r="O29" s="86"/>
      <c r="P29" s="86"/>
      <c r="Q29" s="74"/>
      <c r="R29" s="155"/>
      <c r="S29" s="155"/>
      <c r="T29" s="155"/>
      <c r="U29" s="155"/>
      <c r="V29" s="155"/>
      <c r="W29" s="155"/>
      <c r="X29" s="155"/>
      <c r="Y29" s="155"/>
      <c r="Z29" s="155"/>
      <c r="AA29" s="155"/>
      <c r="AB29" s="155"/>
      <c r="AC29" s="155"/>
      <c r="AD29" s="155"/>
      <c r="AE29" s="155"/>
      <c r="AF29" s="155"/>
      <c r="AG29" s="155"/>
      <c r="AH29" s="155"/>
      <c r="AI29" s="155"/>
    </row>
    <row r="30" spans="1:35" s="39" customFormat="1" x14ac:dyDescent="0.25">
      <c r="A30" s="88" t="s">
        <v>167</v>
      </c>
      <c r="B30" s="86"/>
      <c r="C30" s="86"/>
      <c r="D30" s="86"/>
      <c r="E30" s="86"/>
      <c r="F30" s="86"/>
      <c r="G30" s="86"/>
      <c r="H30" s="86"/>
      <c r="I30" s="86"/>
      <c r="J30" s="152"/>
      <c r="K30" s="86"/>
      <c r="L30" s="86"/>
      <c r="M30" s="86"/>
      <c r="N30" s="86"/>
      <c r="O30" s="86"/>
      <c r="P30" s="86"/>
      <c r="Q30" s="74"/>
      <c r="R30" s="155"/>
      <c r="S30" s="155"/>
      <c r="T30" s="155"/>
      <c r="U30" s="155"/>
      <c r="V30" s="155"/>
      <c r="W30" s="155"/>
      <c r="X30" s="155"/>
      <c r="Y30" s="155"/>
      <c r="Z30" s="155"/>
      <c r="AA30" s="155"/>
      <c r="AB30" s="155"/>
      <c r="AC30" s="155"/>
      <c r="AD30" s="155"/>
      <c r="AE30" s="155"/>
      <c r="AF30" s="155"/>
      <c r="AG30" s="155"/>
      <c r="AH30" s="155"/>
      <c r="AI30" s="155"/>
    </row>
    <row r="31" spans="1:35" s="39" customFormat="1" x14ac:dyDescent="0.25">
      <c r="A31" s="88"/>
      <c r="B31" s="86"/>
      <c r="C31" s="86"/>
      <c r="D31" s="86"/>
      <c r="E31" s="86"/>
      <c r="F31" s="86"/>
      <c r="G31" s="86"/>
      <c r="H31" s="86"/>
      <c r="I31" s="86"/>
      <c r="J31" s="152"/>
      <c r="K31" s="86"/>
      <c r="L31" s="86"/>
      <c r="M31" s="86"/>
      <c r="N31" s="86"/>
      <c r="O31" s="86"/>
      <c r="P31" s="86"/>
      <c r="Q31" s="74"/>
      <c r="R31" s="155"/>
      <c r="S31" s="155"/>
      <c r="T31" s="155"/>
      <c r="U31" s="155"/>
      <c r="V31" s="155"/>
      <c r="W31" s="155"/>
      <c r="X31" s="155"/>
      <c r="Y31" s="155"/>
      <c r="Z31" s="155"/>
      <c r="AA31" s="155"/>
      <c r="AB31" s="155"/>
      <c r="AC31" s="155"/>
      <c r="AD31" s="155"/>
      <c r="AE31" s="155"/>
      <c r="AF31" s="155"/>
      <c r="AG31" s="155"/>
      <c r="AH31" s="155"/>
      <c r="AI31" s="155"/>
    </row>
    <row r="32" spans="1:35" s="39" customFormat="1" x14ac:dyDescent="0.25">
      <c r="A32" s="102" t="s">
        <v>166</v>
      </c>
      <c r="B32" s="86"/>
      <c r="C32" s="86"/>
      <c r="D32" s="86"/>
      <c r="E32" s="86"/>
      <c r="F32" s="86"/>
      <c r="G32" s="86"/>
      <c r="H32" s="86"/>
      <c r="I32" s="86"/>
      <c r="J32" s="104"/>
      <c r="K32" s="86"/>
      <c r="L32" s="86"/>
      <c r="M32" s="86"/>
      <c r="N32" s="86"/>
      <c r="O32" s="86"/>
      <c r="P32" s="86"/>
      <c r="Q32" s="74"/>
      <c r="R32" s="155"/>
      <c r="S32" s="155"/>
      <c r="T32" s="155"/>
      <c r="U32" s="155"/>
      <c r="V32" s="155"/>
      <c r="W32" s="155"/>
      <c r="X32" s="155"/>
      <c r="Y32" s="155"/>
      <c r="Z32" s="155"/>
      <c r="AA32" s="155"/>
      <c r="AB32" s="155"/>
      <c r="AC32" s="155"/>
      <c r="AD32" s="155"/>
      <c r="AE32" s="155"/>
      <c r="AF32" s="155"/>
      <c r="AG32" s="155"/>
      <c r="AH32" s="155"/>
      <c r="AI32" s="155"/>
    </row>
    <row r="33" spans="1:35" s="39" customFormat="1" x14ac:dyDescent="0.25">
      <c r="A33" s="88" t="s">
        <v>160</v>
      </c>
      <c r="B33" s="86"/>
      <c r="C33" s="86"/>
      <c r="D33" s="86"/>
      <c r="E33" s="86"/>
      <c r="F33" s="86"/>
      <c r="G33" s="86"/>
      <c r="H33" s="86"/>
      <c r="I33" s="86"/>
      <c r="J33" s="104"/>
      <c r="K33" s="86"/>
      <c r="L33" s="86"/>
      <c r="M33" s="86"/>
      <c r="N33" s="86"/>
      <c r="O33" s="86"/>
      <c r="P33" s="86"/>
      <c r="Q33" s="74"/>
      <c r="R33" s="155"/>
      <c r="S33" s="155"/>
      <c r="T33" s="155"/>
      <c r="U33" s="155"/>
      <c r="V33" s="155"/>
      <c r="W33" s="155"/>
      <c r="X33" s="155"/>
      <c r="Y33" s="155"/>
      <c r="Z33" s="155"/>
      <c r="AA33" s="155"/>
      <c r="AB33" s="155"/>
      <c r="AC33" s="155"/>
      <c r="AD33" s="155"/>
      <c r="AE33" s="155"/>
      <c r="AF33" s="155"/>
      <c r="AG33" s="155"/>
      <c r="AH33" s="155"/>
      <c r="AI33" s="155"/>
    </row>
    <row r="34" spans="1:35" s="39" customFormat="1" x14ac:dyDescent="0.25">
      <c r="A34" s="88" t="s">
        <v>157</v>
      </c>
      <c r="B34" s="86"/>
      <c r="C34" s="86"/>
      <c r="D34" s="86"/>
      <c r="E34" s="86"/>
      <c r="F34" s="86"/>
      <c r="G34" s="86"/>
      <c r="H34" s="86"/>
      <c r="I34" s="86"/>
      <c r="J34" s="86"/>
      <c r="K34" s="86"/>
      <c r="L34" s="86"/>
      <c r="M34" s="86"/>
      <c r="N34" s="86"/>
      <c r="O34" s="86"/>
      <c r="P34" s="86"/>
      <c r="Q34" s="74"/>
      <c r="R34" s="155"/>
      <c r="S34" s="155"/>
      <c r="T34" s="155"/>
      <c r="U34" s="155"/>
      <c r="V34" s="155"/>
      <c r="W34" s="155"/>
      <c r="X34" s="155"/>
      <c r="Y34" s="155"/>
      <c r="Z34" s="155"/>
      <c r="AA34" s="155"/>
      <c r="AB34" s="155"/>
      <c r="AC34" s="155"/>
      <c r="AD34" s="155"/>
      <c r="AE34" s="155"/>
      <c r="AF34" s="155"/>
      <c r="AG34" s="155"/>
      <c r="AH34" s="155"/>
      <c r="AI34" s="155"/>
    </row>
    <row r="35" spans="1:35" s="39" customFormat="1" x14ac:dyDescent="0.25">
      <c r="A35" s="88"/>
      <c r="B35" s="86"/>
      <c r="C35" s="86"/>
      <c r="D35" s="86"/>
      <c r="E35" s="86"/>
      <c r="F35" s="86"/>
      <c r="G35" s="86"/>
      <c r="H35" s="86"/>
      <c r="I35" s="86"/>
      <c r="J35" s="86"/>
      <c r="K35" s="86"/>
      <c r="L35" s="86"/>
      <c r="M35" s="86"/>
      <c r="N35" s="86"/>
      <c r="O35" s="86"/>
      <c r="P35" s="86"/>
      <c r="Q35" s="74"/>
      <c r="R35" s="155"/>
      <c r="S35" s="155"/>
      <c r="T35" s="155"/>
      <c r="U35" s="155"/>
      <c r="V35" s="155"/>
      <c r="W35" s="155"/>
      <c r="X35" s="155"/>
      <c r="Y35" s="155"/>
      <c r="Z35" s="155"/>
      <c r="AA35" s="155"/>
      <c r="AB35" s="155"/>
      <c r="AC35" s="155"/>
      <c r="AD35" s="155"/>
      <c r="AE35" s="155"/>
      <c r="AF35" s="155"/>
      <c r="AG35" s="155"/>
      <c r="AH35" s="155"/>
      <c r="AI35" s="155"/>
    </row>
    <row r="36" spans="1:35" x14ac:dyDescent="0.25">
      <c r="A36" s="151" t="s">
        <v>234</v>
      </c>
      <c r="B36" s="86"/>
      <c r="C36" s="86"/>
      <c r="D36" s="86"/>
      <c r="E36" s="86"/>
      <c r="F36" s="86"/>
      <c r="G36" s="86"/>
      <c r="H36" s="86"/>
      <c r="I36" s="86"/>
      <c r="J36" s="86"/>
      <c r="K36" s="86"/>
      <c r="L36" s="86"/>
      <c r="M36" s="86"/>
      <c r="N36" s="86"/>
      <c r="O36" s="86"/>
      <c r="P36" s="86"/>
      <c r="Q36" s="74"/>
      <c r="R36" s="155"/>
      <c r="S36" s="155"/>
      <c r="T36" s="155"/>
      <c r="U36" s="155"/>
      <c r="V36" s="155"/>
      <c r="W36" s="155"/>
      <c r="X36" s="155"/>
      <c r="Y36" s="155"/>
      <c r="Z36" s="155"/>
      <c r="AA36" s="155"/>
      <c r="AB36" s="155"/>
      <c r="AC36" s="155"/>
      <c r="AD36" s="155"/>
      <c r="AE36" s="155"/>
      <c r="AF36" s="155"/>
      <c r="AG36" s="155"/>
      <c r="AH36" s="155"/>
      <c r="AI36" s="155"/>
    </row>
    <row r="37" spans="1:35" x14ac:dyDescent="0.25">
      <c r="A37" s="88" t="s">
        <v>179</v>
      </c>
      <c r="B37" s="86"/>
      <c r="C37" s="86"/>
      <c r="D37" s="86"/>
      <c r="E37" s="86"/>
      <c r="F37" s="86"/>
      <c r="G37" s="86"/>
      <c r="H37" s="86"/>
      <c r="I37" s="86"/>
      <c r="J37" s="86"/>
      <c r="K37" s="86"/>
      <c r="L37" s="86"/>
      <c r="M37" s="86"/>
      <c r="N37" s="86"/>
      <c r="O37" s="86"/>
      <c r="P37" s="86"/>
      <c r="Q37" s="74"/>
      <c r="R37" s="155"/>
      <c r="S37" s="155"/>
      <c r="T37" s="155"/>
      <c r="U37" s="155"/>
      <c r="V37" s="155"/>
      <c r="W37" s="155"/>
      <c r="X37" s="155"/>
      <c r="Y37" s="155"/>
      <c r="Z37" s="155"/>
      <c r="AA37" s="155"/>
      <c r="AB37" s="155"/>
      <c r="AC37" s="155"/>
      <c r="AD37" s="155"/>
      <c r="AE37" s="155"/>
      <c r="AF37" s="155"/>
      <c r="AG37" s="155"/>
      <c r="AH37" s="155"/>
      <c r="AI37" s="155"/>
    </row>
    <row r="38" spans="1:35" x14ac:dyDescent="0.25">
      <c r="A38" s="152"/>
      <c r="B38" s="86"/>
      <c r="C38" s="86"/>
      <c r="D38" s="86"/>
      <c r="E38" s="86"/>
      <c r="F38" s="86"/>
      <c r="G38" s="86"/>
      <c r="H38" s="86"/>
      <c r="I38" s="86"/>
      <c r="J38" s="86"/>
      <c r="K38" s="86"/>
      <c r="L38" s="86"/>
      <c r="M38" s="86"/>
      <c r="N38" s="86"/>
      <c r="O38" s="86"/>
      <c r="P38" s="86"/>
      <c r="Q38" s="74"/>
      <c r="R38" s="155"/>
      <c r="S38" s="155"/>
      <c r="T38" s="155"/>
      <c r="U38" s="155"/>
      <c r="V38" s="155"/>
      <c r="W38" s="155"/>
      <c r="X38" s="155"/>
      <c r="Y38" s="155"/>
      <c r="Z38" s="155"/>
      <c r="AA38" s="155"/>
      <c r="AB38" s="155"/>
      <c r="AC38" s="155"/>
      <c r="AD38" s="155"/>
      <c r="AE38" s="155"/>
      <c r="AF38" s="155"/>
      <c r="AG38" s="155"/>
      <c r="AH38" s="155"/>
      <c r="AI38" s="155"/>
    </row>
    <row r="39" spans="1:35" x14ac:dyDescent="0.25">
      <c r="A39" s="88" t="s">
        <v>298</v>
      </c>
      <c r="B39" s="86"/>
      <c r="C39" s="86"/>
      <c r="D39" s="86"/>
      <c r="E39" s="86"/>
      <c r="F39" s="86"/>
      <c r="G39" s="86"/>
      <c r="H39" s="86"/>
      <c r="I39" s="86"/>
      <c r="J39" s="86"/>
      <c r="K39" s="86"/>
      <c r="L39" s="86"/>
      <c r="M39" s="86"/>
      <c r="N39" s="86"/>
      <c r="O39" s="86"/>
      <c r="P39" s="86"/>
      <c r="Q39" s="74"/>
      <c r="R39" s="155"/>
      <c r="S39" s="155"/>
      <c r="T39" s="155"/>
      <c r="U39" s="155"/>
      <c r="V39" s="155"/>
      <c r="W39" s="155"/>
      <c r="X39" s="155"/>
      <c r="Y39" s="155"/>
      <c r="Z39" s="155"/>
      <c r="AA39" s="155"/>
      <c r="AB39" s="155"/>
      <c r="AC39" s="155"/>
      <c r="AD39" s="155"/>
      <c r="AE39" s="155"/>
      <c r="AF39" s="155"/>
      <c r="AG39" s="155"/>
      <c r="AH39" s="155"/>
      <c r="AI39" s="155"/>
    </row>
    <row r="40" spans="1:35" x14ac:dyDescent="0.25">
      <c r="A40" s="87"/>
      <c r="B40" s="86"/>
      <c r="C40" s="86"/>
      <c r="D40" s="86"/>
      <c r="E40" s="86"/>
      <c r="F40" s="86"/>
      <c r="G40" s="86"/>
      <c r="H40" s="86"/>
      <c r="I40" s="86"/>
      <c r="J40" s="86"/>
      <c r="K40" s="86"/>
      <c r="L40" s="86"/>
      <c r="M40" s="86"/>
      <c r="N40" s="86"/>
      <c r="O40" s="86"/>
      <c r="P40" s="86"/>
      <c r="Q40" s="74"/>
      <c r="R40" s="155"/>
      <c r="S40" s="155"/>
      <c r="T40" s="155"/>
      <c r="U40" s="155"/>
      <c r="V40" s="155"/>
      <c r="W40" s="155"/>
      <c r="X40" s="155"/>
      <c r="Y40" s="155"/>
      <c r="Z40" s="155"/>
      <c r="AA40" s="155"/>
      <c r="AB40" s="155"/>
      <c r="AC40" s="155"/>
      <c r="AD40" s="155"/>
      <c r="AE40" s="155"/>
      <c r="AF40" s="155"/>
      <c r="AG40" s="155"/>
      <c r="AH40" s="155"/>
      <c r="AI40" s="155"/>
    </row>
    <row r="41" spans="1:35" x14ac:dyDescent="0.25">
      <c r="A41" s="88" t="s">
        <v>184</v>
      </c>
      <c r="B41" s="86"/>
      <c r="C41" s="86"/>
      <c r="D41" s="86"/>
      <c r="E41" s="86"/>
      <c r="F41" s="86"/>
      <c r="G41" s="86"/>
      <c r="H41" s="86"/>
      <c r="I41" s="86"/>
      <c r="J41" s="86"/>
      <c r="K41" s="86"/>
      <c r="L41" s="86"/>
      <c r="M41" s="86"/>
      <c r="N41" s="86"/>
      <c r="O41" s="86"/>
      <c r="P41" s="86"/>
      <c r="Q41" s="74"/>
      <c r="R41" s="155"/>
      <c r="S41" s="155"/>
      <c r="T41" s="155"/>
      <c r="U41" s="155"/>
      <c r="V41" s="155"/>
      <c r="W41" s="155"/>
      <c r="X41" s="155"/>
      <c r="Y41" s="155"/>
      <c r="Z41" s="155"/>
      <c r="AA41" s="155"/>
      <c r="AB41" s="155"/>
      <c r="AC41" s="155"/>
      <c r="AD41" s="155"/>
      <c r="AE41" s="155"/>
      <c r="AF41" s="155"/>
      <c r="AG41" s="155"/>
      <c r="AH41" s="155"/>
      <c r="AI41" s="155"/>
    </row>
    <row r="42" spans="1:35" x14ac:dyDescent="0.25">
      <c r="A42" s="152"/>
      <c r="B42" s="86"/>
      <c r="C42" s="86"/>
      <c r="D42" s="86"/>
      <c r="E42" s="86"/>
      <c r="F42" s="86"/>
      <c r="G42" s="86"/>
      <c r="H42" s="86"/>
      <c r="I42" s="86"/>
      <c r="J42" s="86"/>
      <c r="K42" s="86"/>
      <c r="L42" s="86"/>
      <c r="M42" s="86"/>
      <c r="N42" s="86"/>
      <c r="O42" s="86"/>
      <c r="P42" s="86"/>
      <c r="Q42" s="74"/>
      <c r="R42" s="155"/>
      <c r="S42" s="155"/>
      <c r="T42" s="155"/>
      <c r="U42" s="155"/>
      <c r="V42" s="155"/>
      <c r="W42" s="155"/>
      <c r="X42" s="155"/>
      <c r="Y42" s="155"/>
      <c r="Z42" s="155"/>
      <c r="AA42" s="155"/>
      <c r="AB42" s="155"/>
      <c r="AC42" s="155"/>
      <c r="AD42" s="155"/>
      <c r="AE42" s="155"/>
      <c r="AF42" s="155"/>
      <c r="AG42" s="155"/>
      <c r="AH42" s="155"/>
      <c r="AI42" s="155"/>
    </row>
    <row r="43" spans="1:35" x14ac:dyDescent="0.25">
      <c r="A43" s="88" t="s">
        <v>183</v>
      </c>
      <c r="B43" s="86"/>
      <c r="C43" s="86"/>
      <c r="D43" s="86"/>
      <c r="E43" s="86"/>
      <c r="F43" s="86"/>
      <c r="G43" s="86"/>
      <c r="H43" s="86"/>
      <c r="I43" s="86"/>
      <c r="J43" s="86"/>
      <c r="K43" s="86"/>
      <c r="L43" s="86"/>
      <c r="M43" s="86"/>
      <c r="N43" s="86"/>
      <c r="O43" s="86"/>
      <c r="P43" s="86"/>
      <c r="Q43" s="74"/>
      <c r="R43" s="155"/>
      <c r="S43" s="155"/>
      <c r="T43" s="155"/>
      <c r="U43" s="155"/>
      <c r="V43" s="155"/>
      <c r="W43" s="155"/>
      <c r="X43" s="155"/>
      <c r="Y43" s="155"/>
      <c r="Z43" s="155"/>
      <c r="AA43" s="155"/>
      <c r="AB43" s="155"/>
      <c r="AC43" s="155"/>
      <c r="AD43" s="155"/>
      <c r="AE43" s="155"/>
      <c r="AF43" s="155"/>
      <c r="AG43" s="155"/>
      <c r="AH43" s="155"/>
      <c r="AI43" s="155"/>
    </row>
    <row r="44" spans="1:35" x14ac:dyDescent="0.25">
      <c r="A44" s="88" t="s">
        <v>159</v>
      </c>
      <c r="B44" s="86"/>
      <c r="C44" s="86"/>
      <c r="D44" s="86"/>
      <c r="E44" s="86"/>
      <c r="F44" s="86"/>
      <c r="G44" s="86"/>
      <c r="H44" s="86"/>
      <c r="I44" s="86"/>
      <c r="J44" s="86"/>
      <c r="K44" s="86"/>
      <c r="L44" s="86"/>
      <c r="M44" s="86"/>
      <c r="N44" s="86"/>
      <c r="O44" s="86"/>
      <c r="P44" s="86"/>
      <c r="Q44" s="74"/>
      <c r="R44" s="155"/>
      <c r="S44" s="155"/>
      <c r="T44" s="155"/>
      <c r="U44" s="155"/>
      <c r="V44" s="155"/>
      <c r="W44" s="155"/>
      <c r="X44" s="155"/>
      <c r="Y44" s="155"/>
      <c r="Z44" s="155"/>
      <c r="AA44" s="155"/>
      <c r="AB44" s="155"/>
      <c r="AC44" s="155"/>
      <c r="AD44" s="155"/>
      <c r="AE44" s="155"/>
      <c r="AF44" s="155"/>
      <c r="AG44" s="155"/>
      <c r="AH44" s="155"/>
      <c r="AI44" s="155"/>
    </row>
    <row r="45" spans="1:35" s="39" customFormat="1" x14ac:dyDescent="0.25">
      <c r="A45" s="152"/>
      <c r="B45" s="86"/>
      <c r="C45" s="86"/>
      <c r="D45" s="86"/>
      <c r="E45" s="86"/>
      <c r="F45" s="86"/>
      <c r="G45" s="86"/>
      <c r="H45" s="86"/>
      <c r="I45" s="86"/>
      <c r="J45" s="86"/>
      <c r="K45" s="86"/>
      <c r="L45" s="86"/>
      <c r="M45" s="86"/>
      <c r="N45" s="86"/>
      <c r="O45" s="86"/>
      <c r="P45" s="86"/>
      <c r="Q45" s="74"/>
      <c r="R45" s="155"/>
      <c r="S45" s="155"/>
      <c r="T45" s="155"/>
      <c r="U45" s="155"/>
      <c r="V45" s="155"/>
      <c r="W45" s="155"/>
      <c r="X45" s="155"/>
      <c r="Y45" s="155"/>
      <c r="Z45" s="155"/>
      <c r="AA45" s="155"/>
      <c r="AB45" s="155"/>
      <c r="AC45" s="155"/>
      <c r="AD45" s="155"/>
      <c r="AE45" s="155"/>
      <c r="AF45" s="155"/>
      <c r="AG45" s="155"/>
      <c r="AH45" s="155"/>
      <c r="AI45" s="155"/>
    </row>
    <row r="46" spans="1:35" s="39" customFormat="1" x14ac:dyDescent="0.25">
      <c r="A46" s="88"/>
      <c r="B46" s="86"/>
      <c r="C46" s="86"/>
      <c r="D46" s="86"/>
      <c r="E46" s="86"/>
      <c r="F46" s="86"/>
      <c r="G46" s="86"/>
      <c r="H46" s="86"/>
      <c r="I46" s="86"/>
      <c r="J46" s="86"/>
      <c r="K46" s="86"/>
      <c r="L46" s="86"/>
      <c r="M46" s="86"/>
      <c r="N46" s="86"/>
      <c r="O46" s="86"/>
      <c r="P46" s="86"/>
      <c r="Q46" s="74"/>
      <c r="R46" s="155"/>
      <c r="S46" s="155"/>
      <c r="T46" s="155"/>
      <c r="U46" s="155"/>
      <c r="V46" s="155"/>
      <c r="W46" s="155"/>
      <c r="X46" s="155"/>
      <c r="Y46" s="155"/>
      <c r="Z46" s="155"/>
      <c r="AA46" s="155"/>
      <c r="AB46" s="155"/>
      <c r="AC46" s="155"/>
      <c r="AD46" s="155"/>
      <c r="AE46" s="155"/>
      <c r="AF46" s="155"/>
      <c r="AG46" s="155"/>
      <c r="AH46" s="155"/>
      <c r="AI46" s="155"/>
    </row>
    <row r="47" spans="1:35" s="39" customFormat="1" x14ac:dyDescent="0.25">
      <c r="A47" s="150" t="s">
        <v>235</v>
      </c>
      <c r="B47" s="86"/>
      <c r="C47" s="86"/>
      <c r="D47" s="86"/>
      <c r="E47" s="86"/>
      <c r="F47" s="86"/>
      <c r="G47" s="86"/>
      <c r="H47" s="86"/>
      <c r="I47" s="86"/>
      <c r="J47" s="86"/>
      <c r="K47" s="86"/>
      <c r="L47" s="86"/>
      <c r="M47" s="86"/>
      <c r="N47" s="86"/>
      <c r="O47" s="86"/>
      <c r="P47" s="86"/>
      <c r="Q47" s="74"/>
      <c r="R47" s="155"/>
      <c r="S47" s="155"/>
      <c r="T47" s="155"/>
      <c r="U47" s="155"/>
      <c r="V47" s="155"/>
      <c r="W47" s="155"/>
      <c r="X47" s="155"/>
      <c r="Y47" s="155"/>
      <c r="Z47" s="155"/>
      <c r="AA47" s="155"/>
      <c r="AB47" s="155"/>
      <c r="AC47" s="155"/>
      <c r="AD47" s="155"/>
      <c r="AE47" s="155"/>
      <c r="AF47" s="155"/>
      <c r="AG47" s="155"/>
      <c r="AH47" s="155"/>
      <c r="AI47" s="155"/>
    </row>
    <row r="48" spans="1:35" x14ac:dyDescent="0.25">
      <c r="A48" s="88" t="s">
        <v>267</v>
      </c>
      <c r="B48" s="86"/>
      <c r="C48" s="86"/>
      <c r="D48" s="86"/>
      <c r="E48" s="86"/>
      <c r="F48" s="86"/>
      <c r="G48" s="86"/>
      <c r="H48" s="86"/>
      <c r="I48" s="86"/>
      <c r="J48" s="86"/>
      <c r="K48" s="86"/>
      <c r="L48" s="86"/>
      <c r="M48" s="86"/>
      <c r="N48" s="86"/>
      <c r="O48" s="86"/>
      <c r="P48" s="86"/>
      <c r="Q48" s="74"/>
      <c r="R48" s="155"/>
      <c r="S48" s="155"/>
      <c r="T48" s="155"/>
      <c r="U48" s="155"/>
      <c r="V48" s="155"/>
      <c r="W48" s="155"/>
      <c r="X48" s="155"/>
      <c r="Y48" s="155"/>
      <c r="Z48" s="155"/>
      <c r="AA48" s="155"/>
      <c r="AB48" s="155"/>
      <c r="AC48" s="155"/>
      <c r="AD48" s="155"/>
      <c r="AE48" s="155"/>
      <c r="AF48" s="155"/>
      <c r="AG48" s="155"/>
      <c r="AH48" s="155"/>
      <c r="AI48" s="155"/>
    </row>
    <row r="49" spans="1:35" x14ac:dyDescent="0.25">
      <c r="A49" s="87" t="s">
        <v>269</v>
      </c>
      <c r="B49" s="152"/>
      <c r="C49" s="86"/>
      <c r="D49" s="86"/>
      <c r="E49" s="86"/>
      <c r="F49" s="152"/>
      <c r="G49" s="86"/>
      <c r="H49" s="86"/>
      <c r="I49" s="106" t="s">
        <v>189</v>
      </c>
      <c r="J49" s="86"/>
      <c r="K49" s="86"/>
      <c r="L49" s="86"/>
      <c r="M49" s="86"/>
      <c r="N49" s="86"/>
      <c r="O49" s="86"/>
      <c r="P49" s="86"/>
      <c r="Q49" s="74"/>
      <c r="R49" s="155"/>
      <c r="S49" s="155"/>
      <c r="T49" s="155"/>
      <c r="U49" s="155"/>
      <c r="V49" s="155"/>
      <c r="W49" s="155"/>
      <c r="X49" s="155"/>
      <c r="Y49" s="155"/>
      <c r="Z49" s="155"/>
      <c r="AA49" s="155"/>
      <c r="AB49" s="155"/>
      <c r="AC49" s="155"/>
      <c r="AD49" s="155"/>
      <c r="AE49" s="155"/>
      <c r="AF49" s="155"/>
      <c r="AG49" s="155"/>
      <c r="AH49" s="155"/>
      <c r="AI49" s="155"/>
    </row>
    <row r="50" spans="1:35" x14ac:dyDescent="0.25">
      <c r="A50" s="103" t="s">
        <v>180</v>
      </c>
      <c r="B50" s="75"/>
      <c r="C50" s="86"/>
      <c r="D50" s="86"/>
      <c r="E50" s="86"/>
      <c r="F50" s="86"/>
      <c r="G50" s="86"/>
      <c r="H50" s="86"/>
      <c r="I50" s="86"/>
      <c r="J50" s="86"/>
      <c r="K50" s="86"/>
      <c r="L50" s="86"/>
      <c r="M50" s="86"/>
      <c r="N50" s="86"/>
      <c r="O50" s="86"/>
      <c r="P50" s="86"/>
      <c r="Q50" s="74"/>
      <c r="R50" s="155"/>
      <c r="S50" s="155"/>
      <c r="T50" s="155"/>
      <c r="U50" s="155"/>
      <c r="V50" s="155"/>
      <c r="W50" s="155"/>
      <c r="X50" s="155"/>
      <c r="Y50" s="155"/>
      <c r="Z50" s="155"/>
      <c r="AA50" s="155"/>
      <c r="AB50" s="155"/>
      <c r="AC50" s="155"/>
      <c r="AD50" s="155"/>
      <c r="AE50" s="155"/>
      <c r="AF50" s="155"/>
      <c r="AG50" s="155"/>
      <c r="AH50" s="155"/>
      <c r="AI50" s="155"/>
    </row>
    <row r="51" spans="1:35" x14ac:dyDescent="0.25">
      <c r="A51" s="103"/>
      <c r="B51" s="86"/>
      <c r="C51" s="86"/>
      <c r="D51" s="86"/>
      <c r="E51" s="86"/>
      <c r="F51" s="86"/>
      <c r="G51" s="86"/>
      <c r="H51" s="86"/>
      <c r="I51" s="86"/>
      <c r="J51" s="86"/>
      <c r="K51" s="86"/>
      <c r="L51" s="86"/>
      <c r="M51" s="86"/>
      <c r="N51" s="86"/>
      <c r="O51" s="86"/>
      <c r="P51" s="86"/>
      <c r="Q51" s="74"/>
      <c r="R51" s="155"/>
      <c r="S51" s="155"/>
      <c r="T51" s="155"/>
      <c r="U51" s="155"/>
      <c r="V51" s="155"/>
      <c r="W51" s="155"/>
      <c r="X51" s="155"/>
      <c r="Y51" s="155"/>
      <c r="Z51" s="155"/>
      <c r="AA51" s="155"/>
      <c r="AB51" s="155"/>
      <c r="AC51" s="155"/>
      <c r="AD51" s="155"/>
      <c r="AE51" s="155"/>
      <c r="AF51" s="155"/>
      <c r="AG51" s="155"/>
      <c r="AH51" s="155"/>
      <c r="AI51" s="155"/>
    </row>
    <row r="52" spans="1:35" x14ac:dyDescent="0.25">
      <c r="A52" s="88" t="s">
        <v>181</v>
      </c>
      <c r="B52" s="86"/>
      <c r="C52" s="86"/>
      <c r="D52" s="86"/>
      <c r="E52" s="86"/>
      <c r="F52" s="86"/>
      <c r="G52" s="86"/>
      <c r="H52" s="86"/>
      <c r="I52" s="86"/>
      <c r="J52" s="86"/>
      <c r="K52" s="86"/>
      <c r="L52" s="86"/>
      <c r="M52" s="86"/>
      <c r="N52" s="86"/>
      <c r="O52" s="86"/>
      <c r="P52" s="86"/>
      <c r="Q52" s="74"/>
      <c r="R52" s="155"/>
      <c r="S52" s="155"/>
      <c r="T52" s="155"/>
      <c r="U52" s="155"/>
      <c r="V52" s="155"/>
      <c r="W52" s="155"/>
      <c r="X52" s="155"/>
      <c r="Y52" s="155"/>
      <c r="Z52" s="155"/>
      <c r="AA52" s="155"/>
      <c r="AB52" s="155"/>
      <c r="AC52" s="155"/>
      <c r="AD52" s="155"/>
      <c r="AE52" s="155"/>
      <c r="AF52" s="155"/>
      <c r="AG52" s="155"/>
      <c r="AH52" s="155"/>
      <c r="AI52" s="155"/>
    </row>
    <row r="53" spans="1:35" x14ac:dyDescent="0.25">
      <c r="A53" s="87"/>
      <c r="B53" s="86"/>
      <c r="C53" s="86"/>
      <c r="D53" s="86"/>
      <c r="E53" s="86"/>
      <c r="F53" s="86"/>
      <c r="G53" s="86"/>
      <c r="H53" s="86"/>
      <c r="I53" s="86"/>
      <c r="J53" s="86"/>
      <c r="K53" s="86"/>
      <c r="L53" s="86"/>
      <c r="M53" s="86"/>
      <c r="N53" s="86"/>
      <c r="O53" s="86"/>
      <c r="P53" s="86"/>
      <c r="Q53" s="74"/>
      <c r="R53" s="155"/>
      <c r="S53" s="155"/>
      <c r="T53" s="155"/>
      <c r="U53" s="155"/>
      <c r="V53" s="155"/>
      <c r="W53" s="155"/>
      <c r="X53" s="155"/>
      <c r="Y53" s="155"/>
      <c r="Z53" s="155"/>
      <c r="AA53" s="155"/>
      <c r="AB53" s="155"/>
      <c r="AC53" s="155"/>
      <c r="AD53" s="155"/>
      <c r="AE53" s="155"/>
      <c r="AF53" s="155"/>
      <c r="AG53" s="155"/>
      <c r="AH53" s="155"/>
      <c r="AI53" s="155"/>
    </row>
    <row r="54" spans="1:35" x14ac:dyDescent="0.25">
      <c r="A54" s="88"/>
      <c r="B54" s="104" t="s">
        <v>182</v>
      </c>
      <c r="C54" s="86"/>
      <c r="D54" s="86"/>
      <c r="E54" s="86"/>
      <c r="F54" s="86"/>
      <c r="G54" s="86"/>
      <c r="H54" s="86"/>
      <c r="I54" s="86"/>
      <c r="J54" s="86"/>
      <c r="K54" s="86"/>
      <c r="L54" s="86"/>
      <c r="M54" s="86"/>
      <c r="N54" s="86"/>
      <c r="O54" s="86"/>
      <c r="P54" s="86"/>
      <c r="Q54" s="74"/>
      <c r="R54" s="155"/>
      <c r="S54" s="155"/>
      <c r="T54" s="155"/>
      <c r="U54" s="155"/>
      <c r="V54" s="155"/>
      <c r="W54" s="155"/>
      <c r="X54" s="155"/>
      <c r="Y54" s="155"/>
      <c r="Z54" s="155"/>
      <c r="AA54" s="155"/>
      <c r="AB54" s="155"/>
      <c r="AC54" s="155"/>
      <c r="AD54" s="155"/>
      <c r="AE54" s="155"/>
      <c r="AF54" s="155"/>
      <c r="AG54" s="155"/>
      <c r="AH54" s="155"/>
      <c r="AI54" s="155"/>
    </row>
    <row r="55" spans="1:35" s="39" customFormat="1" ht="15.75" thickBot="1" x14ac:dyDescent="0.3">
      <c r="A55" s="226"/>
      <c r="B55" s="227"/>
      <c r="C55" s="228"/>
      <c r="D55" s="228"/>
      <c r="E55" s="228"/>
      <c r="F55" s="228"/>
      <c r="G55" s="228"/>
      <c r="H55" s="228"/>
      <c r="I55" s="228"/>
      <c r="J55" s="228"/>
      <c r="K55" s="228"/>
      <c r="L55" s="228"/>
      <c r="M55" s="228"/>
      <c r="N55" s="228"/>
      <c r="O55" s="228"/>
      <c r="P55" s="228"/>
      <c r="Q55" s="229"/>
      <c r="R55" s="155"/>
      <c r="S55" s="155"/>
      <c r="T55" s="155"/>
      <c r="U55" s="155"/>
      <c r="V55" s="155"/>
      <c r="W55" s="155"/>
      <c r="X55" s="155"/>
      <c r="Y55" s="155"/>
      <c r="Z55" s="155"/>
      <c r="AA55" s="155"/>
      <c r="AB55" s="155"/>
      <c r="AC55" s="155"/>
      <c r="AD55" s="155"/>
      <c r="AE55" s="155"/>
      <c r="AF55" s="155"/>
      <c r="AG55" s="155"/>
      <c r="AH55" s="155"/>
      <c r="AI55" s="155"/>
    </row>
    <row r="56" spans="1:35" ht="21.75" thickBot="1" x14ac:dyDescent="0.3">
      <c r="A56" s="225"/>
      <c r="B56" s="211"/>
      <c r="C56" s="211"/>
      <c r="D56" s="211"/>
      <c r="E56" s="211"/>
      <c r="F56" s="211"/>
      <c r="G56" s="211"/>
      <c r="H56" s="211"/>
      <c r="I56" s="211"/>
      <c r="J56" s="211"/>
      <c r="K56" s="211"/>
      <c r="L56" s="211"/>
      <c r="M56" s="211"/>
      <c r="N56" s="211"/>
      <c r="O56" s="211"/>
      <c r="P56" s="211"/>
      <c r="Q56" s="155"/>
      <c r="R56" s="155"/>
      <c r="S56" s="155"/>
      <c r="T56" s="155"/>
      <c r="U56" s="155"/>
      <c r="V56" s="155"/>
      <c r="W56" s="155"/>
      <c r="X56" s="155"/>
      <c r="Y56" s="155"/>
      <c r="Z56" s="155"/>
      <c r="AA56" s="155"/>
      <c r="AB56" s="155"/>
      <c r="AC56" s="155"/>
      <c r="AD56" s="155"/>
      <c r="AE56" s="155"/>
      <c r="AF56" s="155"/>
      <c r="AG56" s="155"/>
      <c r="AH56" s="155"/>
      <c r="AI56" s="155"/>
    </row>
    <row r="57" spans="1:35" ht="21" x14ac:dyDescent="0.25">
      <c r="A57" s="89" t="s">
        <v>161</v>
      </c>
      <c r="B57" s="90"/>
      <c r="C57" s="90"/>
      <c r="D57" s="90"/>
      <c r="E57" s="90"/>
      <c r="F57" s="90"/>
      <c r="G57" s="90"/>
      <c r="H57" s="90"/>
      <c r="I57" s="90"/>
      <c r="J57" s="90"/>
      <c r="K57" s="90"/>
      <c r="L57" s="90"/>
      <c r="M57" s="90"/>
      <c r="N57" s="90"/>
      <c r="O57" s="90"/>
      <c r="P57" s="90"/>
      <c r="Q57" s="67"/>
      <c r="R57" s="155"/>
      <c r="S57" s="155"/>
      <c r="T57" s="155"/>
      <c r="U57" s="155"/>
      <c r="V57" s="155"/>
      <c r="W57" s="155"/>
      <c r="X57" s="155"/>
      <c r="Y57" s="155"/>
      <c r="Z57" s="155"/>
      <c r="AA57" s="155"/>
      <c r="AB57" s="155"/>
      <c r="AC57" s="155"/>
      <c r="AD57" s="155"/>
      <c r="AE57" s="155"/>
      <c r="AF57" s="155"/>
      <c r="AG57" s="155"/>
      <c r="AH57" s="155"/>
      <c r="AI57" s="155"/>
    </row>
    <row r="58" spans="1:35" s="39" customFormat="1" ht="21" x14ac:dyDescent="0.25">
      <c r="A58" s="91"/>
      <c r="B58" s="92"/>
      <c r="C58" s="92"/>
      <c r="D58" s="92"/>
      <c r="E58" s="92"/>
      <c r="F58" s="92"/>
      <c r="G58" s="92"/>
      <c r="H58" s="92"/>
      <c r="I58" s="92"/>
      <c r="J58" s="92"/>
      <c r="K58" s="92"/>
      <c r="L58" s="92"/>
      <c r="M58" s="92"/>
      <c r="N58" s="92"/>
      <c r="O58" s="92"/>
      <c r="P58" s="92"/>
      <c r="Q58" s="68"/>
      <c r="R58" s="155"/>
      <c r="S58" s="155"/>
      <c r="T58" s="155"/>
      <c r="U58" s="155"/>
      <c r="V58" s="155"/>
      <c r="W58" s="155"/>
      <c r="X58" s="155"/>
      <c r="Y58" s="155"/>
      <c r="Z58" s="155"/>
      <c r="AA58" s="155"/>
      <c r="AB58" s="155"/>
      <c r="AC58" s="155"/>
      <c r="AD58" s="155"/>
      <c r="AE58" s="155"/>
      <c r="AF58" s="155"/>
      <c r="AG58" s="155"/>
      <c r="AH58" s="155"/>
      <c r="AI58" s="155"/>
    </row>
    <row r="59" spans="1:35" x14ac:dyDescent="0.25">
      <c r="A59" s="93" t="s">
        <v>277</v>
      </c>
      <c r="B59" s="92"/>
      <c r="C59" s="92"/>
      <c r="D59" s="92"/>
      <c r="E59" s="92"/>
      <c r="F59" s="92"/>
      <c r="G59" s="92"/>
      <c r="H59" s="92"/>
      <c r="I59" s="92"/>
      <c r="J59" s="92"/>
      <c r="K59" s="92"/>
      <c r="L59" s="92"/>
      <c r="M59" s="92"/>
      <c r="N59" s="92"/>
      <c r="O59" s="92"/>
      <c r="P59" s="92"/>
      <c r="Q59" s="68"/>
      <c r="R59" s="155"/>
      <c r="S59" s="155"/>
      <c r="T59" s="155"/>
      <c r="U59" s="155"/>
      <c r="V59" s="155"/>
      <c r="W59" s="155"/>
      <c r="X59" s="155"/>
      <c r="Y59" s="155"/>
      <c r="Z59" s="155"/>
      <c r="AA59" s="155"/>
      <c r="AB59" s="155"/>
      <c r="AC59" s="155"/>
      <c r="AD59" s="155"/>
      <c r="AE59" s="155"/>
      <c r="AF59" s="155"/>
      <c r="AG59" s="155"/>
      <c r="AH59" s="155"/>
      <c r="AI59" s="155"/>
    </row>
    <row r="60" spans="1:35" x14ac:dyDescent="0.25">
      <c r="A60" s="93" t="s">
        <v>278</v>
      </c>
      <c r="B60" s="92"/>
      <c r="C60" s="92"/>
      <c r="D60" s="92"/>
      <c r="E60" s="92"/>
      <c r="F60" s="92"/>
      <c r="G60" s="92"/>
      <c r="H60" s="92"/>
      <c r="I60" s="92"/>
      <c r="J60" s="92"/>
      <c r="K60" s="92"/>
      <c r="L60" s="92"/>
      <c r="M60" s="92"/>
      <c r="N60" s="92"/>
      <c r="O60" s="92"/>
      <c r="P60" s="92"/>
      <c r="Q60" s="68"/>
      <c r="R60" s="155"/>
      <c r="S60" s="155"/>
      <c r="T60" s="155"/>
      <c r="U60" s="155"/>
      <c r="V60" s="155"/>
      <c r="W60" s="155"/>
      <c r="X60" s="155"/>
      <c r="Y60" s="155"/>
      <c r="Z60" s="155"/>
      <c r="AA60" s="155"/>
      <c r="AB60" s="155"/>
      <c r="AC60" s="155"/>
      <c r="AD60" s="155"/>
      <c r="AE60" s="155"/>
      <c r="AF60" s="155"/>
      <c r="AG60" s="155"/>
      <c r="AH60" s="155"/>
      <c r="AI60" s="155"/>
    </row>
    <row r="61" spans="1:35" x14ac:dyDescent="0.25">
      <c r="A61" s="94" t="s">
        <v>279</v>
      </c>
      <c r="B61" s="92"/>
      <c r="C61" s="92"/>
      <c r="D61" s="92"/>
      <c r="E61" s="92"/>
      <c r="F61" s="92"/>
      <c r="G61" s="92"/>
      <c r="H61" s="92"/>
      <c r="I61" s="92"/>
      <c r="J61" s="92"/>
      <c r="K61" s="92"/>
      <c r="L61" s="92"/>
      <c r="M61" s="92"/>
      <c r="N61" s="92"/>
      <c r="O61" s="92"/>
      <c r="P61" s="92"/>
      <c r="Q61" s="68"/>
      <c r="R61" s="155"/>
      <c r="S61" s="155"/>
      <c r="T61" s="155"/>
      <c r="U61" s="155"/>
      <c r="V61" s="155"/>
      <c r="W61" s="155"/>
      <c r="X61" s="155"/>
      <c r="Y61" s="155"/>
      <c r="Z61" s="155"/>
      <c r="AA61" s="155"/>
      <c r="AB61" s="155"/>
      <c r="AC61" s="155"/>
      <c r="AD61" s="155"/>
      <c r="AE61" s="155"/>
      <c r="AF61" s="155"/>
      <c r="AG61" s="155"/>
      <c r="AH61" s="155"/>
      <c r="AI61" s="155"/>
    </row>
    <row r="62" spans="1:35" s="39" customFormat="1" x14ac:dyDescent="0.25">
      <c r="A62" s="94"/>
      <c r="B62" s="92"/>
      <c r="C62" s="92"/>
      <c r="D62" s="92"/>
      <c r="E62" s="92"/>
      <c r="F62" s="92"/>
      <c r="G62" s="92"/>
      <c r="H62" s="92"/>
      <c r="I62" s="92"/>
      <c r="J62" s="92"/>
      <c r="K62" s="92"/>
      <c r="L62" s="92"/>
      <c r="M62" s="92"/>
      <c r="N62" s="92"/>
      <c r="O62" s="92"/>
      <c r="P62" s="92"/>
      <c r="Q62" s="68"/>
      <c r="R62" s="155"/>
      <c r="S62" s="155"/>
      <c r="T62" s="155"/>
      <c r="U62" s="155"/>
      <c r="V62" s="155"/>
      <c r="W62" s="155"/>
      <c r="X62" s="155"/>
      <c r="Y62" s="155"/>
      <c r="Z62" s="155"/>
      <c r="AA62" s="155"/>
      <c r="AB62" s="155"/>
      <c r="AC62" s="155"/>
      <c r="AD62" s="155"/>
      <c r="AE62" s="155"/>
      <c r="AF62" s="155"/>
      <c r="AG62" s="155"/>
      <c r="AH62" s="155"/>
      <c r="AI62" s="155"/>
    </row>
    <row r="63" spans="1:35" s="39" customFormat="1" x14ac:dyDescent="0.25">
      <c r="A63" s="221" t="s">
        <v>276</v>
      </c>
      <c r="B63" s="92"/>
      <c r="C63" s="92"/>
      <c r="D63" s="92"/>
      <c r="E63" s="92"/>
      <c r="F63" s="92"/>
      <c r="G63" s="92"/>
      <c r="H63" s="92"/>
      <c r="I63" s="92"/>
      <c r="J63" s="92"/>
      <c r="K63" s="92"/>
      <c r="L63" s="92"/>
      <c r="M63" s="92"/>
      <c r="N63" s="92"/>
      <c r="O63" s="92"/>
      <c r="P63" s="92"/>
      <c r="Q63" s="68"/>
      <c r="R63" s="155"/>
      <c r="S63" s="155"/>
      <c r="T63" s="155"/>
      <c r="U63" s="155"/>
      <c r="V63" s="155"/>
      <c r="W63" s="155"/>
      <c r="X63" s="155"/>
      <c r="Y63" s="155"/>
      <c r="Z63" s="155"/>
      <c r="AA63" s="155"/>
      <c r="AB63" s="155"/>
      <c r="AC63" s="155"/>
      <c r="AD63" s="155"/>
      <c r="AE63" s="155"/>
      <c r="AF63" s="155"/>
      <c r="AG63" s="155"/>
      <c r="AH63" s="155"/>
      <c r="AI63" s="155"/>
    </row>
    <row r="64" spans="1:35" s="39" customFormat="1" x14ac:dyDescent="0.25">
      <c r="A64" s="94" t="s">
        <v>281</v>
      </c>
      <c r="B64" s="92"/>
      <c r="C64" s="223"/>
      <c r="D64" s="92"/>
      <c r="E64" s="92"/>
      <c r="F64" s="92"/>
      <c r="G64" s="92"/>
      <c r="H64" s="92"/>
      <c r="I64" s="92"/>
      <c r="J64" s="92"/>
      <c r="K64" s="92"/>
      <c r="L64" s="92"/>
      <c r="M64" s="92"/>
      <c r="N64" s="92"/>
      <c r="O64" s="92"/>
      <c r="P64" s="92"/>
      <c r="Q64" s="68"/>
      <c r="R64" s="155"/>
      <c r="S64" s="155"/>
      <c r="T64" s="155"/>
      <c r="U64" s="155"/>
      <c r="V64" s="155"/>
      <c r="W64" s="155"/>
      <c r="X64" s="155"/>
      <c r="Y64" s="155"/>
      <c r="Z64" s="155"/>
      <c r="AA64" s="155"/>
      <c r="AB64" s="155"/>
      <c r="AC64" s="155"/>
      <c r="AD64" s="155"/>
      <c r="AE64" s="155"/>
      <c r="AF64" s="155"/>
      <c r="AG64" s="155"/>
      <c r="AH64" s="155"/>
      <c r="AI64" s="155"/>
    </row>
    <row r="65" spans="1:35" x14ac:dyDescent="0.25">
      <c r="A65" s="223" t="s">
        <v>280</v>
      </c>
      <c r="B65" s="224" t="s">
        <v>273</v>
      </c>
      <c r="C65" s="92"/>
      <c r="D65" s="92"/>
      <c r="E65" s="92"/>
      <c r="F65" s="92"/>
      <c r="G65" s="92"/>
      <c r="H65" s="92"/>
      <c r="I65" s="92"/>
      <c r="J65" s="92"/>
      <c r="K65" s="92"/>
      <c r="L65" s="92"/>
      <c r="M65" s="92"/>
      <c r="N65" s="92"/>
      <c r="O65" s="92"/>
      <c r="P65" s="92"/>
      <c r="Q65" s="68"/>
      <c r="R65" s="155"/>
      <c r="S65" s="155"/>
      <c r="T65" s="155"/>
      <c r="U65" s="155"/>
      <c r="V65" s="155"/>
      <c r="W65" s="155"/>
      <c r="X65" s="155"/>
      <c r="Y65" s="155"/>
      <c r="Z65" s="155"/>
      <c r="AA65" s="155"/>
      <c r="AB65" s="155"/>
      <c r="AC65" s="155"/>
      <c r="AD65" s="155"/>
      <c r="AE65" s="155"/>
      <c r="AF65" s="155"/>
      <c r="AG65" s="155"/>
      <c r="AH65" s="155"/>
      <c r="AI65" s="155"/>
    </row>
    <row r="66" spans="1:35" s="39" customFormat="1" x14ac:dyDescent="0.25">
      <c r="A66" s="94"/>
      <c r="B66" s="223"/>
      <c r="C66" s="223"/>
      <c r="D66" s="92"/>
      <c r="E66" s="92"/>
      <c r="F66" s="92"/>
      <c r="G66" s="92"/>
      <c r="H66" s="92"/>
      <c r="I66" s="92"/>
      <c r="J66" s="92"/>
      <c r="K66" s="92"/>
      <c r="L66" s="92"/>
      <c r="M66" s="92"/>
      <c r="N66" s="92"/>
      <c r="O66" s="92"/>
      <c r="P66" s="92"/>
      <c r="Q66" s="68"/>
      <c r="R66" s="155"/>
      <c r="S66" s="155"/>
      <c r="T66" s="155"/>
      <c r="U66" s="155"/>
      <c r="V66" s="155"/>
      <c r="W66" s="155"/>
      <c r="X66" s="155"/>
      <c r="Y66" s="155"/>
      <c r="Z66" s="155"/>
      <c r="AA66" s="155"/>
      <c r="AB66" s="155"/>
      <c r="AC66" s="155"/>
      <c r="AD66" s="155"/>
      <c r="AE66" s="155"/>
      <c r="AF66" s="155"/>
      <c r="AG66" s="155"/>
      <c r="AH66" s="155"/>
      <c r="AI66" s="155"/>
    </row>
    <row r="67" spans="1:35" x14ac:dyDescent="0.25">
      <c r="A67" s="221" t="s">
        <v>274</v>
      </c>
      <c r="B67" s="92"/>
      <c r="C67" s="92"/>
      <c r="D67" s="92"/>
      <c r="E67" s="92"/>
      <c r="F67" s="92"/>
      <c r="G67" s="92"/>
      <c r="H67" s="92"/>
      <c r="I67" s="92"/>
      <c r="J67" s="92"/>
      <c r="K67" s="92"/>
      <c r="L67" s="92"/>
      <c r="M67" s="92"/>
      <c r="N67" s="92"/>
      <c r="O67" s="92"/>
      <c r="P67" s="92"/>
      <c r="Q67" s="68"/>
      <c r="R67" s="155"/>
      <c r="S67" s="155"/>
      <c r="T67" s="155"/>
      <c r="U67" s="155"/>
      <c r="V67" s="155"/>
      <c r="W67" s="155"/>
      <c r="X67" s="155"/>
      <c r="Y67" s="155"/>
      <c r="Z67" s="155"/>
      <c r="AA67" s="155"/>
      <c r="AB67" s="155"/>
      <c r="AC67" s="155"/>
      <c r="AD67" s="155"/>
      <c r="AE67" s="155"/>
      <c r="AF67" s="155"/>
      <c r="AG67" s="155"/>
      <c r="AH67" s="155"/>
      <c r="AI67" s="155"/>
    </row>
    <row r="68" spans="1:35" x14ac:dyDescent="0.25">
      <c r="A68" s="94" t="s">
        <v>185</v>
      </c>
      <c r="B68" s="92"/>
      <c r="C68" s="92"/>
      <c r="D68" s="92"/>
      <c r="E68" s="92"/>
      <c r="F68" s="92"/>
      <c r="G68" s="92"/>
      <c r="H68" s="92"/>
      <c r="I68" s="92"/>
      <c r="J68" s="92"/>
      <c r="K68" s="92"/>
      <c r="L68" s="92"/>
      <c r="M68" s="92"/>
      <c r="N68" s="92"/>
      <c r="O68" s="92"/>
      <c r="P68" s="92"/>
      <c r="Q68" s="68"/>
      <c r="R68" s="155"/>
      <c r="S68" s="155"/>
      <c r="T68" s="155"/>
      <c r="U68" s="155"/>
      <c r="V68" s="155"/>
      <c r="W68" s="155"/>
      <c r="X68" s="155"/>
      <c r="Y68" s="155"/>
      <c r="Z68" s="155"/>
      <c r="AA68" s="155"/>
      <c r="AB68" s="155"/>
      <c r="AC68" s="155"/>
      <c r="AD68" s="155"/>
      <c r="AE68" s="155"/>
      <c r="AF68" s="155"/>
      <c r="AG68" s="155"/>
      <c r="AH68" s="155"/>
      <c r="AI68" s="155"/>
    </row>
    <row r="69" spans="1:35" s="39" customFormat="1" x14ac:dyDescent="0.25">
      <c r="A69" s="223"/>
      <c r="B69" s="92"/>
      <c r="C69" s="92"/>
      <c r="D69" s="92"/>
      <c r="E69" s="92"/>
      <c r="F69" s="92"/>
      <c r="G69" s="92"/>
      <c r="H69" s="92"/>
      <c r="I69" s="92"/>
      <c r="J69" s="92"/>
      <c r="K69" s="92"/>
      <c r="L69" s="92"/>
      <c r="M69" s="92"/>
      <c r="N69" s="92"/>
      <c r="O69" s="92"/>
      <c r="P69" s="92"/>
      <c r="Q69" s="68"/>
      <c r="R69" s="155"/>
      <c r="S69" s="155"/>
      <c r="T69" s="155"/>
      <c r="U69" s="155"/>
      <c r="V69" s="155"/>
      <c r="W69" s="155"/>
      <c r="X69" s="155"/>
      <c r="Y69" s="155"/>
      <c r="Z69" s="155"/>
      <c r="AA69" s="155"/>
      <c r="AB69" s="155"/>
      <c r="AC69" s="155"/>
      <c r="AD69" s="155"/>
      <c r="AE69" s="155"/>
      <c r="AF69" s="155"/>
      <c r="AG69" s="155"/>
      <c r="AH69" s="155"/>
      <c r="AI69" s="155"/>
    </row>
    <row r="70" spans="1:35" s="39" customFormat="1" x14ac:dyDescent="0.25">
      <c r="A70" s="222" t="s">
        <v>275</v>
      </c>
      <c r="B70" s="92"/>
      <c r="C70" s="92"/>
      <c r="D70" s="92"/>
      <c r="E70" s="92"/>
      <c r="F70" s="92"/>
      <c r="G70" s="92"/>
      <c r="H70" s="92"/>
      <c r="I70" s="92"/>
      <c r="J70" s="92"/>
      <c r="K70" s="92"/>
      <c r="L70" s="92"/>
      <c r="M70" s="92"/>
      <c r="N70" s="92"/>
      <c r="O70" s="92"/>
      <c r="P70" s="92"/>
      <c r="Q70" s="68"/>
      <c r="R70" s="155"/>
      <c r="S70" s="155"/>
      <c r="T70" s="155"/>
      <c r="U70" s="155"/>
      <c r="V70" s="155"/>
      <c r="W70" s="155"/>
      <c r="X70" s="155"/>
      <c r="Y70" s="155"/>
      <c r="Z70" s="155"/>
      <c r="AA70" s="155"/>
      <c r="AB70" s="155"/>
      <c r="AC70" s="155"/>
      <c r="AD70" s="155"/>
      <c r="AE70" s="155"/>
      <c r="AF70" s="155"/>
      <c r="AG70" s="155"/>
      <c r="AH70" s="155"/>
      <c r="AI70" s="155"/>
    </row>
    <row r="71" spans="1:35" s="39" customFormat="1" x14ac:dyDescent="0.25">
      <c r="A71" s="94" t="s">
        <v>173</v>
      </c>
      <c r="B71" s="92"/>
      <c r="C71" s="92"/>
      <c r="D71" s="92"/>
      <c r="E71" s="92"/>
      <c r="F71" s="92"/>
      <c r="G71" s="92"/>
      <c r="H71" s="92"/>
      <c r="I71" s="92"/>
      <c r="J71" s="92"/>
      <c r="K71" s="92"/>
      <c r="L71" s="92"/>
      <c r="M71" s="92"/>
      <c r="N71" s="92"/>
      <c r="O71" s="92"/>
      <c r="P71" s="92"/>
      <c r="Q71" s="68"/>
      <c r="R71" s="155"/>
      <c r="S71" s="155"/>
      <c r="T71" s="155"/>
      <c r="U71" s="155"/>
      <c r="V71" s="155"/>
      <c r="W71" s="155"/>
      <c r="X71" s="155"/>
      <c r="Y71" s="155"/>
      <c r="Z71" s="155"/>
      <c r="AA71" s="155"/>
      <c r="AB71" s="155"/>
      <c r="AC71" s="155"/>
      <c r="AD71" s="155"/>
      <c r="AE71" s="155"/>
      <c r="AF71" s="155"/>
      <c r="AG71" s="155"/>
      <c r="AH71" s="155"/>
      <c r="AI71" s="155"/>
    </row>
    <row r="72" spans="1:35" x14ac:dyDescent="0.25">
      <c r="A72" s="94" t="s">
        <v>186</v>
      </c>
      <c r="B72" s="92"/>
      <c r="C72" s="92"/>
      <c r="D72" s="92"/>
      <c r="E72" s="92"/>
      <c r="F72" s="92"/>
      <c r="G72" s="92"/>
      <c r="H72" s="92"/>
      <c r="I72" s="92"/>
      <c r="J72" s="92"/>
      <c r="K72" s="92"/>
      <c r="L72" s="92"/>
      <c r="M72" s="92"/>
      <c r="N72" s="92"/>
      <c r="O72" s="92"/>
      <c r="P72" s="92"/>
      <c r="Q72" s="68"/>
      <c r="R72" s="155"/>
      <c r="S72" s="155"/>
      <c r="T72" s="155"/>
      <c r="U72" s="155"/>
      <c r="V72" s="155"/>
      <c r="W72" s="155"/>
      <c r="X72" s="155"/>
      <c r="Y72" s="155"/>
      <c r="Z72" s="155"/>
      <c r="AA72" s="155"/>
      <c r="AB72" s="155"/>
      <c r="AC72" s="155"/>
      <c r="AD72" s="155"/>
      <c r="AE72" s="155"/>
      <c r="AF72" s="155"/>
      <c r="AG72" s="155"/>
      <c r="AH72" s="155"/>
      <c r="AI72" s="155"/>
    </row>
    <row r="73" spans="1:35" x14ac:dyDescent="0.25">
      <c r="A73" s="266" t="s">
        <v>174</v>
      </c>
      <c r="B73" s="267"/>
      <c r="C73" s="92"/>
      <c r="D73" s="92"/>
      <c r="E73" s="92"/>
      <c r="F73" s="92"/>
      <c r="G73" s="92"/>
      <c r="H73" s="92"/>
      <c r="I73" s="92"/>
      <c r="J73" s="92"/>
      <c r="K73" s="92"/>
      <c r="L73" s="92"/>
      <c r="M73" s="92"/>
      <c r="N73" s="92"/>
      <c r="O73" s="92"/>
      <c r="P73" s="92"/>
      <c r="Q73" s="68"/>
      <c r="R73" s="155"/>
      <c r="S73" s="155"/>
      <c r="T73" s="155"/>
      <c r="U73" s="155"/>
      <c r="V73" s="155"/>
      <c r="W73" s="155"/>
      <c r="X73" s="155"/>
      <c r="Y73" s="155"/>
      <c r="Z73" s="155"/>
      <c r="AA73" s="155"/>
      <c r="AB73" s="155"/>
      <c r="AC73" s="155"/>
      <c r="AD73" s="155"/>
      <c r="AE73" s="155"/>
      <c r="AF73" s="155"/>
      <c r="AG73" s="155"/>
      <c r="AH73" s="155"/>
      <c r="AI73" s="155"/>
    </row>
    <row r="74" spans="1:35" s="39" customFormat="1" ht="15.75" thickBot="1" x14ac:dyDescent="0.3">
      <c r="A74" s="101" t="s">
        <v>283</v>
      </c>
      <c r="B74" s="265"/>
      <c r="C74" s="265"/>
      <c r="D74" s="265"/>
      <c r="E74" s="265"/>
      <c r="F74" s="265"/>
      <c r="G74" s="265"/>
      <c r="H74" s="265"/>
      <c r="I74" s="265"/>
      <c r="J74" s="265"/>
      <c r="K74" s="265"/>
      <c r="L74" s="265"/>
      <c r="M74" s="95"/>
      <c r="N74" s="95"/>
      <c r="O74" s="95"/>
      <c r="P74" s="95"/>
      <c r="Q74" s="69"/>
      <c r="R74" s="155"/>
      <c r="S74" s="155"/>
      <c r="T74" s="155"/>
      <c r="U74" s="155"/>
      <c r="V74" s="155"/>
      <c r="W74" s="155"/>
      <c r="X74" s="155"/>
      <c r="Y74" s="155"/>
      <c r="Z74" s="155"/>
      <c r="AA74" s="155"/>
      <c r="AB74" s="155"/>
      <c r="AC74" s="155"/>
      <c r="AD74" s="155"/>
      <c r="AE74" s="155"/>
      <c r="AF74" s="155"/>
      <c r="AG74" s="155"/>
      <c r="AH74" s="155"/>
      <c r="AI74" s="155"/>
    </row>
    <row r="75" spans="1:35" ht="15.75" thickBot="1" x14ac:dyDescent="0.3">
      <c r="B75" s="213"/>
      <c r="C75" s="213"/>
      <c r="D75" s="213"/>
      <c r="E75" s="213"/>
      <c r="F75" s="213"/>
      <c r="G75" s="213"/>
      <c r="H75" s="213"/>
      <c r="I75" s="213"/>
      <c r="J75" s="213"/>
      <c r="K75" s="213"/>
      <c r="L75" s="213"/>
      <c r="M75" s="213"/>
      <c r="N75" s="213"/>
      <c r="O75" s="213"/>
      <c r="P75" s="213"/>
      <c r="Q75" s="155"/>
      <c r="R75" s="155"/>
      <c r="S75" s="155"/>
      <c r="T75" s="155"/>
      <c r="U75" s="155"/>
      <c r="V75" s="155"/>
      <c r="W75" s="155"/>
      <c r="X75" s="155"/>
      <c r="Y75" s="155"/>
      <c r="Z75" s="155"/>
      <c r="AA75" s="155"/>
      <c r="AB75" s="155"/>
      <c r="AC75" s="155"/>
      <c r="AD75" s="155"/>
      <c r="AE75" s="155"/>
      <c r="AF75" s="155"/>
      <c r="AG75" s="155"/>
      <c r="AH75" s="155"/>
      <c r="AI75" s="155"/>
    </row>
    <row r="76" spans="1:35" ht="21" x14ac:dyDescent="0.25">
      <c r="A76" s="96"/>
      <c r="B76" s="97"/>
      <c r="C76" s="97"/>
      <c r="D76" s="97"/>
      <c r="E76" s="97"/>
      <c r="F76" s="97"/>
      <c r="G76" s="97"/>
      <c r="H76" s="97"/>
      <c r="I76" s="97"/>
      <c r="J76" s="97"/>
      <c r="K76" s="97"/>
      <c r="L76" s="97"/>
      <c r="M76" s="97"/>
      <c r="N76" s="97"/>
      <c r="O76" s="97"/>
      <c r="P76" s="97"/>
      <c r="Q76" s="70"/>
      <c r="R76" s="155"/>
      <c r="S76" s="155"/>
      <c r="T76" s="155"/>
      <c r="U76" s="155"/>
      <c r="V76" s="155"/>
      <c r="W76" s="155"/>
      <c r="X76" s="155"/>
      <c r="Y76" s="155"/>
      <c r="Z76" s="155"/>
      <c r="AA76" s="155"/>
      <c r="AB76" s="155"/>
      <c r="AC76" s="155"/>
      <c r="AD76" s="155"/>
      <c r="AE76" s="155"/>
      <c r="AF76" s="155"/>
      <c r="AG76" s="155"/>
      <c r="AH76" s="155"/>
      <c r="AI76" s="155"/>
    </row>
    <row r="77" spans="1:35" ht="21" x14ac:dyDescent="0.25">
      <c r="A77" s="98" t="s">
        <v>172</v>
      </c>
      <c r="B77" s="77"/>
      <c r="C77" s="77"/>
      <c r="D77" s="77"/>
      <c r="E77" s="77"/>
      <c r="F77" s="77"/>
      <c r="G77" s="77"/>
      <c r="H77" s="77"/>
      <c r="I77" s="77"/>
      <c r="J77" s="77"/>
      <c r="K77" s="77"/>
      <c r="L77" s="77"/>
      <c r="M77" s="77"/>
      <c r="N77" s="77"/>
      <c r="O77" s="77"/>
      <c r="P77" s="77"/>
      <c r="Q77" s="71"/>
      <c r="R77" s="155"/>
      <c r="S77" s="155"/>
      <c r="T77" s="155"/>
      <c r="U77" s="155"/>
      <c r="V77" s="155"/>
      <c r="W77" s="155"/>
      <c r="X77" s="155"/>
      <c r="Y77" s="155"/>
      <c r="Z77" s="155"/>
      <c r="AA77" s="155"/>
      <c r="AB77" s="155"/>
      <c r="AC77" s="155"/>
      <c r="AD77" s="155"/>
      <c r="AE77" s="155"/>
      <c r="AF77" s="155"/>
      <c r="AG77" s="155"/>
      <c r="AH77" s="155"/>
      <c r="AI77" s="155"/>
    </row>
    <row r="78" spans="1:35" x14ac:dyDescent="0.25">
      <c r="A78" s="79"/>
      <c r="B78" s="77"/>
      <c r="C78" s="77"/>
      <c r="D78" s="77"/>
      <c r="E78" s="77"/>
      <c r="F78" s="77"/>
      <c r="G78" s="77"/>
      <c r="H78" s="77"/>
      <c r="I78" s="77"/>
      <c r="J78" s="77"/>
      <c r="K78" s="77"/>
      <c r="L78" s="77"/>
      <c r="M78" s="77"/>
      <c r="N78" s="77"/>
      <c r="O78" s="77"/>
      <c r="P78" s="77"/>
      <c r="Q78" s="71"/>
      <c r="R78" s="155"/>
      <c r="S78" s="155"/>
      <c r="T78" s="155"/>
      <c r="U78" s="155"/>
      <c r="V78" s="155"/>
      <c r="W78" s="155"/>
      <c r="X78" s="155"/>
      <c r="Y78" s="155"/>
      <c r="Z78" s="155"/>
      <c r="AA78" s="155"/>
      <c r="AB78" s="155"/>
      <c r="AC78" s="155"/>
      <c r="AD78" s="155"/>
      <c r="AE78" s="155"/>
      <c r="AF78" s="155"/>
      <c r="AG78" s="155"/>
      <c r="AH78" s="155"/>
      <c r="AI78" s="155"/>
    </row>
    <row r="79" spans="1:35" x14ac:dyDescent="0.25">
      <c r="A79" s="99" t="s">
        <v>175</v>
      </c>
      <c r="B79" s="77"/>
      <c r="C79" s="77"/>
      <c r="D79" s="77"/>
      <c r="E79" s="77"/>
      <c r="F79" s="77"/>
      <c r="G79" s="77"/>
      <c r="H79" s="77"/>
      <c r="I79" s="77"/>
      <c r="J79" s="77"/>
      <c r="K79" s="77"/>
      <c r="L79" s="77"/>
      <c r="M79" s="77"/>
      <c r="N79" s="77"/>
      <c r="O79" s="77"/>
      <c r="P79" s="77"/>
      <c r="Q79" s="71"/>
      <c r="R79" s="155"/>
      <c r="S79" s="155"/>
      <c r="T79" s="155"/>
      <c r="U79" s="155"/>
      <c r="V79" s="155"/>
      <c r="W79" s="155"/>
      <c r="X79" s="155"/>
      <c r="Y79" s="155"/>
      <c r="Z79" s="155"/>
      <c r="AA79" s="155"/>
      <c r="AB79" s="155"/>
      <c r="AC79" s="155"/>
      <c r="AD79" s="155"/>
      <c r="AE79" s="155"/>
      <c r="AF79" s="155"/>
      <c r="AG79" s="155"/>
      <c r="AH79" s="155"/>
      <c r="AI79" s="155"/>
    </row>
    <row r="80" spans="1:35" x14ac:dyDescent="0.25">
      <c r="A80" s="99" t="s">
        <v>187</v>
      </c>
      <c r="B80" s="77"/>
      <c r="C80" s="77"/>
      <c r="D80" s="77"/>
      <c r="E80" s="77"/>
      <c r="F80" s="77"/>
      <c r="G80" s="77"/>
      <c r="H80" s="77"/>
      <c r="I80" s="77"/>
      <c r="J80" s="77"/>
      <c r="K80" s="77"/>
      <c r="L80" s="77"/>
      <c r="M80" s="77"/>
      <c r="N80" s="77"/>
      <c r="O80" s="77"/>
      <c r="P80" s="77"/>
      <c r="Q80" s="71"/>
      <c r="R80" s="155"/>
      <c r="S80" s="155"/>
      <c r="T80" s="155"/>
      <c r="U80" s="155"/>
      <c r="V80" s="155"/>
      <c r="W80" s="155"/>
      <c r="X80" s="155"/>
      <c r="Y80" s="155"/>
      <c r="Z80" s="155"/>
      <c r="AA80" s="155"/>
      <c r="AB80" s="155"/>
      <c r="AC80" s="155"/>
      <c r="AD80" s="155"/>
      <c r="AE80" s="155"/>
      <c r="AF80" s="155"/>
      <c r="AG80" s="155"/>
      <c r="AH80" s="155"/>
      <c r="AI80" s="155"/>
    </row>
    <row r="81" spans="1:35" s="23" customFormat="1" x14ac:dyDescent="0.25">
      <c r="A81" s="99" t="s">
        <v>176</v>
      </c>
      <c r="B81" s="77"/>
      <c r="C81" s="77"/>
      <c r="D81" s="77"/>
      <c r="E81" s="77"/>
      <c r="F81" s="77"/>
      <c r="G81" s="77"/>
      <c r="H81" s="77"/>
      <c r="I81" s="77"/>
      <c r="J81" s="77"/>
      <c r="K81" s="77"/>
      <c r="L81" s="77"/>
      <c r="M81" s="77"/>
      <c r="N81" s="77"/>
      <c r="O81" s="77"/>
      <c r="P81" s="77"/>
      <c r="Q81" s="78"/>
      <c r="R81" s="211"/>
      <c r="S81" s="211"/>
      <c r="T81" s="211"/>
      <c r="U81" s="211"/>
      <c r="V81" s="211"/>
      <c r="W81" s="211"/>
      <c r="X81" s="211"/>
      <c r="Y81" s="211"/>
      <c r="Z81" s="211"/>
      <c r="AA81" s="211"/>
      <c r="AB81" s="211"/>
      <c r="AC81" s="211"/>
      <c r="AD81" s="211"/>
      <c r="AE81" s="211"/>
      <c r="AF81" s="211"/>
      <c r="AG81" s="211"/>
      <c r="AH81" s="211"/>
      <c r="AI81" s="211"/>
    </row>
    <row r="82" spans="1:35" x14ac:dyDescent="0.25">
      <c r="A82" s="99" t="s">
        <v>177</v>
      </c>
      <c r="B82" s="77"/>
      <c r="C82" s="77"/>
      <c r="D82" s="77"/>
      <c r="E82" s="77"/>
      <c r="F82" s="77"/>
      <c r="G82" s="77"/>
      <c r="H82" s="77"/>
      <c r="I82" s="77"/>
      <c r="J82" s="77"/>
      <c r="K82" s="77"/>
      <c r="L82" s="77"/>
      <c r="M82" s="77"/>
      <c r="N82" s="77"/>
      <c r="O82" s="77"/>
      <c r="P82" s="77"/>
      <c r="Q82" s="71"/>
      <c r="R82" s="155"/>
      <c r="S82" s="155"/>
      <c r="T82" s="155"/>
      <c r="U82" s="155"/>
      <c r="V82" s="155"/>
      <c r="W82" s="155"/>
      <c r="X82" s="155"/>
      <c r="Y82" s="155"/>
      <c r="Z82" s="155"/>
      <c r="AA82" s="155"/>
      <c r="AB82" s="155"/>
      <c r="AC82" s="155"/>
      <c r="AD82" s="155"/>
      <c r="AE82" s="155"/>
      <c r="AF82" s="155"/>
      <c r="AG82" s="155"/>
      <c r="AH82" s="155"/>
      <c r="AI82" s="155"/>
    </row>
    <row r="83" spans="1:35" x14ac:dyDescent="0.25">
      <c r="A83" s="99" t="s">
        <v>268</v>
      </c>
      <c r="B83" s="77"/>
      <c r="C83" s="77"/>
      <c r="D83" s="77"/>
      <c r="E83" s="77"/>
      <c r="F83" s="77"/>
      <c r="G83" s="77"/>
      <c r="H83" s="77"/>
      <c r="I83" s="77"/>
      <c r="J83" s="77"/>
      <c r="K83" s="77"/>
      <c r="L83" s="77"/>
      <c r="M83" s="77"/>
      <c r="N83" s="77"/>
      <c r="O83" s="77"/>
      <c r="P83" s="77"/>
      <c r="Q83" s="71"/>
      <c r="R83" s="155"/>
      <c r="S83" s="155"/>
      <c r="T83" s="155"/>
      <c r="U83" s="155"/>
      <c r="V83" s="155"/>
      <c r="W83" s="155"/>
      <c r="X83" s="155"/>
      <c r="Y83" s="155"/>
      <c r="Z83" s="155"/>
      <c r="AA83" s="155"/>
      <c r="AB83" s="155"/>
      <c r="AC83" s="155"/>
      <c r="AD83" s="155"/>
      <c r="AE83" s="155"/>
      <c r="AF83" s="155"/>
      <c r="AG83" s="155"/>
      <c r="AH83" s="155"/>
      <c r="AI83" s="155"/>
    </row>
    <row r="84" spans="1:35" x14ac:dyDescent="0.25">
      <c r="A84" s="79"/>
      <c r="B84" s="77"/>
      <c r="C84" s="77"/>
      <c r="D84" s="77"/>
      <c r="E84" s="77"/>
      <c r="F84" s="77"/>
      <c r="G84" s="77"/>
      <c r="H84" s="77"/>
      <c r="I84" s="77"/>
      <c r="J84" s="77"/>
      <c r="K84" s="77"/>
      <c r="L84" s="77"/>
      <c r="M84" s="77"/>
      <c r="N84" s="77"/>
      <c r="O84" s="77"/>
      <c r="P84" s="77"/>
      <c r="Q84" s="71"/>
      <c r="R84" s="155"/>
      <c r="S84" s="155"/>
      <c r="T84" s="155"/>
      <c r="U84" s="155"/>
      <c r="V84" s="155"/>
      <c r="W84" s="155"/>
      <c r="X84" s="155"/>
      <c r="Y84" s="155"/>
      <c r="Z84" s="155"/>
      <c r="AA84" s="155"/>
      <c r="AB84" s="155"/>
      <c r="AC84" s="155"/>
      <c r="AD84" s="155"/>
      <c r="AE84" s="155"/>
      <c r="AF84" s="155"/>
      <c r="AG84" s="155"/>
      <c r="AH84" s="155"/>
      <c r="AI84" s="155"/>
    </row>
    <row r="85" spans="1:35" x14ac:dyDescent="0.25">
      <c r="A85" s="79" t="s">
        <v>188</v>
      </c>
      <c r="B85" s="77"/>
      <c r="C85" s="77"/>
      <c r="D85" s="77"/>
      <c r="E85" s="77"/>
      <c r="F85" s="77"/>
      <c r="G85" s="77"/>
      <c r="H85" s="77"/>
      <c r="I85" s="77"/>
      <c r="J85" s="77"/>
      <c r="K85" s="77"/>
      <c r="L85" s="77"/>
      <c r="M85" s="77"/>
      <c r="N85" s="77"/>
      <c r="O85" s="77"/>
      <c r="P85" s="77"/>
      <c r="Q85" s="71"/>
      <c r="R85" s="155"/>
      <c r="S85" s="155"/>
      <c r="T85" s="155"/>
      <c r="U85" s="155"/>
      <c r="V85" s="155"/>
      <c r="W85" s="155"/>
      <c r="X85" s="155"/>
      <c r="Y85" s="155"/>
      <c r="Z85" s="155"/>
      <c r="AA85" s="155"/>
      <c r="AB85" s="155"/>
      <c r="AC85" s="155"/>
      <c r="AD85" s="155"/>
      <c r="AE85" s="155"/>
      <c r="AF85" s="155"/>
      <c r="AG85" s="155"/>
      <c r="AH85" s="155"/>
      <c r="AI85" s="155"/>
    </row>
    <row r="86" spans="1:35" ht="16.5" thickBot="1" x14ac:dyDescent="0.3">
      <c r="A86" s="100" t="s">
        <v>299</v>
      </c>
      <c r="B86" s="80"/>
      <c r="C86" s="80"/>
      <c r="D86" s="80"/>
      <c r="E86" s="80"/>
      <c r="F86" s="80"/>
      <c r="G86" s="80"/>
      <c r="H86" s="80"/>
      <c r="I86" s="80"/>
      <c r="J86" s="80"/>
      <c r="K86" s="80"/>
      <c r="L86" s="80"/>
      <c r="M86" s="80"/>
      <c r="N86" s="80"/>
      <c r="O86" s="80"/>
      <c r="P86" s="80"/>
      <c r="Q86" s="72"/>
      <c r="R86" s="155"/>
      <c r="S86" s="155"/>
      <c r="T86" s="155"/>
      <c r="U86" s="155"/>
      <c r="V86" s="155"/>
      <c r="W86" s="155"/>
      <c r="X86" s="155"/>
      <c r="Y86" s="155"/>
      <c r="Z86" s="155"/>
      <c r="AA86" s="155"/>
      <c r="AB86" s="155"/>
      <c r="AC86" s="155"/>
      <c r="AD86" s="155"/>
      <c r="AE86" s="155"/>
      <c r="AF86" s="155"/>
      <c r="AG86" s="155"/>
      <c r="AH86" s="155"/>
      <c r="AI86" s="155"/>
    </row>
    <row r="87" spans="1:35" s="39" customFormat="1" ht="15.75" thickBot="1" x14ac:dyDescent="0.3">
      <c r="A87" s="157"/>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row>
    <row r="88" spans="1:35" ht="21" x14ac:dyDescent="0.35">
      <c r="A88" s="277" t="s">
        <v>284</v>
      </c>
      <c r="B88" s="268"/>
      <c r="C88" s="268"/>
      <c r="D88" s="268"/>
      <c r="E88" s="268"/>
      <c r="F88" s="268"/>
      <c r="G88" s="268"/>
      <c r="H88" s="268"/>
      <c r="I88" s="268"/>
      <c r="J88" s="268"/>
      <c r="K88" s="268"/>
      <c r="L88" s="268"/>
      <c r="M88" s="268"/>
      <c r="N88" s="268"/>
      <c r="O88" s="268"/>
      <c r="P88" s="268"/>
      <c r="Q88" s="269"/>
      <c r="R88" s="155"/>
      <c r="S88" s="155"/>
      <c r="T88" s="155"/>
      <c r="U88" s="155"/>
      <c r="V88" s="155"/>
      <c r="W88" s="155"/>
      <c r="X88" s="155"/>
      <c r="Y88" s="155"/>
      <c r="Z88" s="155"/>
      <c r="AA88" s="155"/>
      <c r="AB88" s="155"/>
      <c r="AC88" s="155"/>
      <c r="AD88" s="155"/>
      <c r="AE88" s="155"/>
      <c r="AF88" s="155"/>
      <c r="AG88" s="155"/>
      <c r="AH88" s="155"/>
      <c r="AI88" s="155"/>
    </row>
    <row r="89" spans="1:35" s="39" customFormat="1" x14ac:dyDescent="0.25">
      <c r="A89" s="270"/>
      <c r="B89" s="271"/>
      <c r="C89" s="271"/>
      <c r="D89" s="271"/>
      <c r="E89" s="271"/>
      <c r="F89" s="271"/>
      <c r="G89" s="271"/>
      <c r="H89" s="271"/>
      <c r="I89" s="271"/>
      <c r="J89" s="271"/>
      <c r="K89" s="271"/>
      <c r="L89" s="271"/>
      <c r="M89" s="271"/>
      <c r="N89" s="271"/>
      <c r="O89" s="271"/>
      <c r="P89" s="271"/>
      <c r="Q89" s="272"/>
      <c r="R89" s="155"/>
      <c r="S89" s="155"/>
      <c r="T89" s="155"/>
      <c r="U89" s="155"/>
      <c r="V89" s="155"/>
      <c r="W89" s="155"/>
      <c r="X89" s="155"/>
      <c r="Y89" s="155"/>
      <c r="Z89" s="155"/>
      <c r="AA89" s="155"/>
      <c r="AB89" s="155"/>
      <c r="AC89" s="155"/>
      <c r="AD89" s="155"/>
      <c r="AE89" s="155"/>
      <c r="AF89" s="155"/>
      <c r="AG89" s="155"/>
      <c r="AH89" s="155"/>
      <c r="AI89" s="155"/>
    </row>
    <row r="90" spans="1:35" s="39" customFormat="1" x14ac:dyDescent="0.25">
      <c r="A90" s="270" t="s">
        <v>292</v>
      </c>
      <c r="B90" s="271"/>
      <c r="C90" s="271"/>
      <c r="D90" s="271"/>
      <c r="E90" s="271"/>
      <c r="F90" s="271"/>
      <c r="G90" s="271"/>
      <c r="H90" s="271"/>
      <c r="I90" s="271"/>
      <c r="J90" s="271"/>
      <c r="K90" s="271"/>
      <c r="L90" s="271"/>
      <c r="M90" s="271"/>
      <c r="N90" s="271"/>
      <c r="O90" s="271"/>
      <c r="P90" s="271"/>
      <c r="Q90" s="272"/>
      <c r="R90" s="155"/>
      <c r="S90" s="155"/>
      <c r="T90" s="155"/>
      <c r="U90" s="155"/>
      <c r="V90" s="155"/>
      <c r="W90" s="155"/>
      <c r="X90" s="155"/>
      <c r="Y90" s="155"/>
      <c r="Z90" s="155"/>
      <c r="AA90" s="155"/>
      <c r="AB90" s="155"/>
      <c r="AC90" s="155"/>
      <c r="AD90" s="155"/>
      <c r="AE90" s="155"/>
      <c r="AF90" s="155"/>
      <c r="AG90" s="155"/>
      <c r="AH90" s="155"/>
      <c r="AI90" s="155"/>
    </row>
    <row r="91" spans="1:35" s="39" customFormat="1" x14ac:dyDescent="0.25">
      <c r="A91" s="273" t="s">
        <v>294</v>
      </c>
      <c r="B91" s="271"/>
      <c r="C91" s="271"/>
      <c r="D91" s="271"/>
      <c r="E91" s="271"/>
      <c r="F91" s="271"/>
      <c r="G91" s="271"/>
      <c r="H91" s="271"/>
      <c r="I91" s="271"/>
      <c r="J91" s="271"/>
      <c r="K91" s="271"/>
      <c r="L91" s="271"/>
      <c r="M91" s="271"/>
      <c r="N91" s="271"/>
      <c r="O91" s="271"/>
      <c r="P91" s="271"/>
      <c r="Q91" s="272"/>
      <c r="R91" s="155"/>
      <c r="S91" s="155"/>
      <c r="T91" s="155"/>
      <c r="U91" s="155"/>
      <c r="V91" s="155"/>
      <c r="W91" s="155"/>
      <c r="X91" s="155"/>
      <c r="Y91" s="155"/>
      <c r="Z91" s="155"/>
      <c r="AA91" s="155"/>
      <c r="AB91" s="155"/>
      <c r="AC91" s="155"/>
      <c r="AD91" s="155"/>
      <c r="AE91" s="155"/>
      <c r="AF91" s="155"/>
      <c r="AG91" s="155"/>
      <c r="AH91" s="155"/>
      <c r="AI91" s="155"/>
    </row>
    <row r="92" spans="1:35" s="39" customFormat="1" x14ac:dyDescent="0.25">
      <c r="A92" s="273" t="s">
        <v>296</v>
      </c>
      <c r="B92" s="271"/>
      <c r="C92" s="271"/>
      <c r="D92" s="271"/>
      <c r="E92" s="271"/>
      <c r="F92" s="271"/>
      <c r="G92" s="271"/>
      <c r="H92" s="271"/>
      <c r="I92" s="271"/>
      <c r="J92" s="271"/>
      <c r="K92" s="271"/>
      <c r="L92" s="271"/>
      <c r="M92" s="271"/>
      <c r="N92" s="271"/>
      <c r="O92" s="271"/>
      <c r="P92" s="271"/>
      <c r="Q92" s="272"/>
      <c r="R92" s="155"/>
      <c r="S92" s="155"/>
      <c r="T92" s="155"/>
      <c r="U92" s="155"/>
      <c r="V92" s="155"/>
      <c r="W92" s="155"/>
      <c r="X92" s="155"/>
      <c r="Y92" s="155"/>
      <c r="Z92" s="155"/>
      <c r="AA92" s="155"/>
      <c r="AB92" s="155"/>
      <c r="AC92" s="155"/>
      <c r="AD92" s="155"/>
      <c r="AE92" s="155"/>
      <c r="AF92" s="155"/>
      <c r="AG92" s="155"/>
      <c r="AH92" s="155"/>
      <c r="AI92" s="155"/>
    </row>
    <row r="93" spans="1:35" s="39" customFormat="1" x14ac:dyDescent="0.25">
      <c r="A93" s="273" t="s">
        <v>293</v>
      </c>
      <c r="B93" s="271"/>
      <c r="C93" s="271"/>
      <c r="D93" s="271"/>
      <c r="E93" s="271"/>
      <c r="F93" s="271"/>
      <c r="G93" s="271"/>
      <c r="H93" s="271"/>
      <c r="I93" s="271"/>
      <c r="J93" s="271"/>
      <c r="K93" s="271"/>
      <c r="L93" s="271"/>
      <c r="M93" s="271"/>
      <c r="N93" s="271"/>
      <c r="O93" s="271"/>
      <c r="P93" s="271"/>
      <c r="Q93" s="272"/>
      <c r="R93" s="155"/>
      <c r="S93" s="155"/>
      <c r="T93" s="155"/>
      <c r="U93" s="155"/>
      <c r="V93" s="155"/>
      <c r="W93" s="155"/>
      <c r="X93" s="155"/>
      <c r="Y93" s="155"/>
      <c r="Z93" s="155"/>
      <c r="AA93" s="155"/>
      <c r="AB93" s="155"/>
      <c r="AC93" s="155"/>
      <c r="AD93" s="155"/>
      <c r="AE93" s="155"/>
      <c r="AF93" s="155"/>
      <c r="AG93" s="155"/>
      <c r="AH93" s="155"/>
      <c r="AI93" s="155"/>
    </row>
    <row r="94" spans="1:35" s="39" customFormat="1" x14ac:dyDescent="0.25">
      <c r="A94" s="278"/>
      <c r="B94" s="271"/>
      <c r="C94" s="271"/>
      <c r="D94" s="271"/>
      <c r="E94" s="271"/>
      <c r="F94" s="271"/>
      <c r="G94" s="271"/>
      <c r="H94" s="271"/>
      <c r="I94" s="271"/>
      <c r="J94" s="271"/>
      <c r="K94" s="271"/>
      <c r="L94" s="271"/>
      <c r="M94" s="271"/>
      <c r="N94" s="271"/>
      <c r="O94" s="271"/>
      <c r="P94" s="271"/>
      <c r="Q94" s="272"/>
      <c r="R94" s="155"/>
      <c r="S94" s="155"/>
      <c r="T94" s="155"/>
      <c r="U94" s="155"/>
      <c r="V94" s="155"/>
      <c r="W94" s="155"/>
      <c r="X94" s="155"/>
      <c r="Y94" s="155"/>
      <c r="Z94" s="155"/>
      <c r="AA94" s="155"/>
      <c r="AB94" s="155"/>
      <c r="AC94" s="155"/>
      <c r="AD94" s="155"/>
      <c r="AE94" s="155"/>
      <c r="AF94" s="155"/>
      <c r="AG94" s="155"/>
      <c r="AH94" s="155"/>
      <c r="AI94" s="155"/>
    </row>
    <row r="95" spans="1:35" s="39" customFormat="1" x14ac:dyDescent="0.25">
      <c r="A95" s="270" t="s">
        <v>288</v>
      </c>
      <c r="B95" s="271"/>
      <c r="C95" s="271"/>
      <c r="D95" s="271"/>
      <c r="E95" s="271"/>
      <c r="F95" s="271"/>
      <c r="G95" s="271"/>
      <c r="H95" s="271"/>
      <c r="I95" s="271"/>
      <c r="J95" s="271"/>
      <c r="K95" s="271"/>
      <c r="L95" s="271"/>
      <c r="M95" s="271"/>
      <c r="N95" s="271"/>
      <c r="O95" s="271"/>
      <c r="P95" s="271"/>
      <c r="Q95" s="272"/>
      <c r="R95" s="155"/>
      <c r="S95" s="155"/>
      <c r="T95" s="155"/>
      <c r="U95" s="155"/>
      <c r="V95" s="155"/>
      <c r="W95" s="155"/>
      <c r="X95" s="155"/>
      <c r="Y95" s="155"/>
      <c r="Z95" s="155"/>
      <c r="AA95" s="155"/>
      <c r="AB95" s="155"/>
      <c r="AC95" s="155"/>
      <c r="AD95" s="155"/>
      <c r="AE95" s="155"/>
      <c r="AF95" s="155"/>
      <c r="AG95" s="155"/>
      <c r="AH95" s="155"/>
      <c r="AI95" s="155"/>
    </row>
    <row r="96" spans="1:35" s="39" customFormat="1" x14ac:dyDescent="0.25">
      <c r="A96" s="278" t="s">
        <v>300</v>
      </c>
      <c r="B96" s="271"/>
      <c r="C96" s="271"/>
      <c r="D96" s="271"/>
      <c r="E96" s="271"/>
      <c r="F96" s="271"/>
      <c r="G96" s="271"/>
      <c r="H96" s="271"/>
      <c r="I96" s="271"/>
      <c r="J96" s="271"/>
      <c r="K96" s="271"/>
      <c r="L96" s="271"/>
      <c r="M96" s="271"/>
      <c r="N96" s="271"/>
      <c r="O96" s="271"/>
      <c r="P96" s="271"/>
      <c r="Q96" s="272"/>
      <c r="R96" s="155"/>
      <c r="S96" s="155"/>
      <c r="T96" s="155"/>
      <c r="U96" s="155"/>
      <c r="V96" s="155"/>
      <c r="W96" s="155"/>
      <c r="X96" s="155"/>
      <c r="Y96" s="155"/>
      <c r="Z96" s="155"/>
      <c r="AA96" s="155"/>
      <c r="AB96" s="155"/>
      <c r="AC96" s="155"/>
      <c r="AD96" s="155"/>
      <c r="AE96" s="155"/>
      <c r="AF96" s="155"/>
      <c r="AG96" s="155"/>
      <c r="AH96" s="155"/>
      <c r="AI96" s="155"/>
    </row>
    <row r="97" spans="1:35" s="39" customFormat="1" x14ac:dyDescent="0.25">
      <c r="A97" s="278" t="s">
        <v>302</v>
      </c>
      <c r="B97" s="271"/>
      <c r="C97" s="271"/>
      <c r="D97" s="271"/>
      <c r="E97" s="271"/>
      <c r="F97" s="271"/>
      <c r="G97" s="271"/>
      <c r="H97" s="271"/>
      <c r="I97" s="271"/>
      <c r="J97" s="271"/>
      <c r="K97" s="271"/>
      <c r="L97" s="271"/>
      <c r="M97" s="271"/>
      <c r="N97" s="271"/>
      <c r="O97" s="271"/>
      <c r="P97" s="271"/>
      <c r="Q97" s="272"/>
      <c r="R97" s="155"/>
      <c r="S97" s="155"/>
      <c r="T97" s="155"/>
      <c r="U97" s="155"/>
      <c r="V97" s="155"/>
      <c r="W97" s="155"/>
      <c r="X97" s="155"/>
      <c r="Y97" s="155"/>
      <c r="Z97" s="155"/>
      <c r="AA97" s="155"/>
      <c r="AB97" s="155"/>
      <c r="AC97" s="155"/>
      <c r="AD97" s="155"/>
      <c r="AE97" s="155"/>
      <c r="AF97" s="155"/>
      <c r="AG97" s="155"/>
      <c r="AH97" s="155"/>
      <c r="AI97" s="155"/>
    </row>
    <row r="98" spans="1:35" s="39" customFormat="1" x14ac:dyDescent="0.25">
      <c r="A98" s="274" t="s">
        <v>301</v>
      </c>
      <c r="B98" s="271"/>
      <c r="C98" s="271"/>
      <c r="D98" s="271"/>
      <c r="E98" s="271"/>
      <c r="F98" s="271"/>
      <c r="G98" s="271"/>
      <c r="H98" s="271"/>
      <c r="I98" s="271"/>
      <c r="J98" s="271"/>
      <c r="K98" s="271"/>
      <c r="L98" s="271"/>
      <c r="M98" s="271"/>
      <c r="N98" s="271"/>
      <c r="O98" s="271"/>
      <c r="P98" s="271"/>
      <c r="Q98" s="272"/>
      <c r="R98" s="155"/>
      <c r="S98" s="155"/>
      <c r="T98" s="155"/>
      <c r="U98" s="155"/>
      <c r="V98" s="155"/>
      <c r="W98" s="155"/>
      <c r="X98" s="155"/>
      <c r="Y98" s="155"/>
      <c r="Z98" s="155"/>
      <c r="AA98" s="155"/>
      <c r="AB98" s="155"/>
      <c r="AC98" s="155"/>
      <c r="AD98" s="155"/>
      <c r="AE98" s="155"/>
      <c r="AF98" s="155"/>
      <c r="AG98" s="155"/>
      <c r="AH98" s="155"/>
      <c r="AI98" s="155"/>
    </row>
    <row r="99" spans="1:35" s="39" customFormat="1" x14ac:dyDescent="0.25">
      <c r="A99" s="274" t="s">
        <v>295</v>
      </c>
      <c r="B99" s="271"/>
      <c r="C99" s="271"/>
      <c r="D99" s="271"/>
      <c r="E99" s="271"/>
      <c r="F99" s="271"/>
      <c r="G99" s="271"/>
      <c r="H99" s="271"/>
      <c r="I99" s="271"/>
      <c r="J99" s="271"/>
      <c r="K99" s="271"/>
      <c r="L99" s="271"/>
      <c r="M99" s="271"/>
      <c r="N99" s="271"/>
      <c r="O99" s="271"/>
      <c r="P99" s="271"/>
      <c r="Q99" s="272"/>
      <c r="R99" s="155"/>
      <c r="S99" s="155"/>
      <c r="T99" s="155"/>
      <c r="U99" s="155"/>
      <c r="V99" s="155"/>
      <c r="W99" s="155"/>
      <c r="X99" s="155"/>
      <c r="Y99" s="155"/>
      <c r="Z99" s="155"/>
      <c r="AA99" s="155"/>
      <c r="AB99" s="155"/>
      <c r="AC99" s="155"/>
      <c r="AD99" s="155"/>
      <c r="AE99" s="155"/>
      <c r="AF99" s="155"/>
      <c r="AG99" s="155"/>
      <c r="AH99" s="155"/>
      <c r="AI99" s="155"/>
    </row>
    <row r="100" spans="1:35" s="39" customFormat="1" x14ac:dyDescent="0.25">
      <c r="A100" s="278"/>
      <c r="B100" s="271"/>
      <c r="C100" s="271"/>
      <c r="D100" s="271"/>
      <c r="E100" s="271"/>
      <c r="F100" s="271"/>
      <c r="G100" s="271"/>
      <c r="H100" s="271"/>
      <c r="I100" s="271"/>
      <c r="J100" s="271"/>
      <c r="K100" s="271"/>
      <c r="L100" s="271"/>
      <c r="M100" s="271"/>
      <c r="N100" s="271"/>
      <c r="O100" s="271"/>
      <c r="P100" s="271"/>
      <c r="Q100" s="272"/>
      <c r="R100" s="155"/>
      <c r="S100" s="155"/>
      <c r="T100" s="155"/>
      <c r="U100" s="155"/>
      <c r="V100" s="155"/>
      <c r="W100" s="155"/>
      <c r="X100" s="155"/>
      <c r="Y100" s="155"/>
      <c r="Z100" s="155"/>
      <c r="AA100" s="155"/>
      <c r="AB100" s="155"/>
      <c r="AC100" s="155"/>
      <c r="AD100" s="155"/>
      <c r="AE100" s="155"/>
      <c r="AF100" s="155"/>
      <c r="AG100" s="155"/>
      <c r="AH100" s="155"/>
      <c r="AI100" s="155"/>
    </row>
    <row r="101" spans="1:35" s="39" customFormat="1" x14ac:dyDescent="0.25">
      <c r="A101" s="270" t="s">
        <v>285</v>
      </c>
      <c r="B101" s="271"/>
      <c r="C101" s="271"/>
      <c r="D101" s="271"/>
      <c r="E101" s="271"/>
      <c r="F101" s="271"/>
      <c r="G101" s="271"/>
      <c r="H101" s="271"/>
      <c r="I101" s="271"/>
      <c r="J101" s="271"/>
      <c r="K101" s="271"/>
      <c r="L101" s="271"/>
      <c r="M101" s="271"/>
      <c r="N101" s="271"/>
      <c r="O101" s="271"/>
      <c r="P101" s="271"/>
      <c r="Q101" s="272"/>
      <c r="R101" s="155"/>
      <c r="S101" s="155"/>
      <c r="T101" s="155"/>
      <c r="U101" s="155"/>
      <c r="V101" s="155"/>
      <c r="W101" s="155"/>
      <c r="X101" s="155"/>
      <c r="Y101" s="155"/>
      <c r="Z101" s="155"/>
      <c r="AA101" s="155"/>
      <c r="AB101" s="155"/>
      <c r="AC101" s="155"/>
      <c r="AD101" s="155"/>
      <c r="AE101" s="155"/>
      <c r="AF101" s="155"/>
      <c r="AG101" s="155"/>
      <c r="AH101" s="155"/>
      <c r="AI101" s="155"/>
    </row>
    <row r="102" spans="1:35" s="39" customFormat="1" x14ac:dyDescent="0.25">
      <c r="A102" s="273" t="s">
        <v>291</v>
      </c>
      <c r="B102" s="271"/>
      <c r="C102" s="271"/>
      <c r="D102" s="271"/>
      <c r="E102" s="271"/>
      <c r="F102" s="271"/>
      <c r="G102" s="271"/>
      <c r="H102" s="271"/>
      <c r="I102" s="271"/>
      <c r="J102" s="271"/>
      <c r="K102" s="271"/>
      <c r="L102" s="271"/>
      <c r="M102" s="271"/>
      <c r="N102" s="271"/>
      <c r="O102" s="271"/>
      <c r="P102" s="271"/>
      <c r="Q102" s="272"/>
      <c r="R102" s="155"/>
      <c r="S102" s="155"/>
      <c r="T102" s="155"/>
      <c r="U102" s="155"/>
      <c r="V102" s="155"/>
      <c r="W102" s="155"/>
      <c r="X102" s="155"/>
      <c r="Y102" s="155"/>
      <c r="Z102" s="155"/>
      <c r="AA102" s="155"/>
      <c r="AB102" s="155"/>
      <c r="AC102" s="155"/>
      <c r="AD102" s="155"/>
      <c r="AE102" s="155"/>
      <c r="AF102" s="155"/>
      <c r="AG102" s="155"/>
      <c r="AH102" s="155"/>
      <c r="AI102" s="155"/>
    </row>
    <row r="103" spans="1:35" s="39" customFormat="1" x14ac:dyDescent="0.25">
      <c r="A103" s="278"/>
      <c r="B103" s="271"/>
      <c r="C103" s="271"/>
      <c r="D103" s="271"/>
      <c r="E103" s="271"/>
      <c r="F103" s="271"/>
      <c r="G103" s="271"/>
      <c r="H103" s="271"/>
      <c r="I103" s="271"/>
      <c r="J103" s="271"/>
      <c r="K103" s="271"/>
      <c r="L103" s="271"/>
      <c r="M103" s="271"/>
      <c r="N103" s="271"/>
      <c r="O103" s="271"/>
      <c r="P103" s="271"/>
      <c r="Q103" s="272"/>
      <c r="R103" s="155"/>
      <c r="S103" s="155"/>
      <c r="T103" s="155"/>
      <c r="U103" s="155"/>
      <c r="V103" s="155"/>
      <c r="W103" s="155"/>
      <c r="X103" s="155"/>
      <c r="Y103" s="155"/>
      <c r="Z103" s="155"/>
      <c r="AA103" s="155"/>
      <c r="AB103" s="155"/>
      <c r="AC103" s="155"/>
      <c r="AD103" s="155"/>
      <c r="AE103" s="155"/>
      <c r="AF103" s="155"/>
      <c r="AG103" s="155"/>
      <c r="AH103" s="155"/>
      <c r="AI103" s="155"/>
    </row>
    <row r="104" spans="1:35" s="39" customFormat="1" x14ac:dyDescent="0.25">
      <c r="A104" s="270" t="s">
        <v>286</v>
      </c>
      <c r="B104" s="271"/>
      <c r="C104" s="271"/>
      <c r="D104" s="271"/>
      <c r="E104" s="271"/>
      <c r="F104" s="271"/>
      <c r="G104" s="271"/>
      <c r="H104" s="271"/>
      <c r="I104" s="271"/>
      <c r="J104" s="271"/>
      <c r="K104" s="271"/>
      <c r="L104" s="271"/>
      <c r="M104" s="271"/>
      <c r="N104" s="271"/>
      <c r="O104" s="271"/>
      <c r="P104" s="271"/>
      <c r="Q104" s="272"/>
      <c r="R104" s="155"/>
      <c r="S104" s="155"/>
      <c r="T104" s="155"/>
      <c r="U104" s="155"/>
      <c r="V104" s="155"/>
      <c r="W104" s="155"/>
      <c r="X104" s="155"/>
      <c r="Y104" s="155"/>
      <c r="Z104" s="155"/>
      <c r="AA104" s="155"/>
      <c r="AB104" s="155"/>
      <c r="AC104" s="155"/>
      <c r="AD104" s="155"/>
      <c r="AE104" s="155"/>
      <c r="AF104" s="155"/>
      <c r="AG104" s="155"/>
      <c r="AH104" s="155"/>
      <c r="AI104" s="155"/>
    </row>
    <row r="105" spans="1:35" s="39" customFormat="1" x14ac:dyDescent="0.25">
      <c r="A105" s="274" t="s">
        <v>287</v>
      </c>
      <c r="B105" s="271"/>
      <c r="C105" s="271"/>
      <c r="D105" s="271"/>
      <c r="E105" s="271"/>
      <c r="F105" s="271"/>
      <c r="G105" s="271"/>
      <c r="H105" s="271"/>
      <c r="I105" s="271"/>
      <c r="J105" s="271"/>
      <c r="K105" s="271"/>
      <c r="L105" s="271"/>
      <c r="M105" s="271"/>
      <c r="N105" s="271"/>
      <c r="O105" s="271"/>
      <c r="P105" s="271"/>
      <c r="Q105" s="272"/>
      <c r="R105" s="155"/>
      <c r="S105" s="155"/>
      <c r="T105" s="155"/>
      <c r="U105" s="155"/>
      <c r="V105" s="155"/>
      <c r="W105" s="155"/>
      <c r="X105" s="155"/>
      <c r="Y105" s="155"/>
      <c r="Z105" s="155"/>
      <c r="AA105" s="155"/>
      <c r="AB105" s="155"/>
      <c r="AC105" s="155"/>
      <c r="AD105" s="155"/>
      <c r="AE105" s="155"/>
      <c r="AF105" s="155"/>
      <c r="AG105" s="155"/>
      <c r="AH105" s="155"/>
      <c r="AI105" s="155"/>
    </row>
    <row r="106" spans="1:35" s="39" customFormat="1" x14ac:dyDescent="0.25">
      <c r="A106" s="274"/>
      <c r="B106" s="271"/>
      <c r="C106" s="271"/>
      <c r="D106" s="271"/>
      <c r="E106" s="271"/>
      <c r="F106" s="271"/>
      <c r="G106" s="271"/>
      <c r="H106" s="271"/>
      <c r="I106" s="271"/>
      <c r="J106" s="271"/>
      <c r="K106" s="271"/>
      <c r="L106" s="271"/>
      <c r="M106" s="271"/>
      <c r="N106" s="271"/>
      <c r="O106" s="271"/>
      <c r="P106" s="271"/>
      <c r="Q106" s="272"/>
      <c r="R106" s="155"/>
      <c r="S106" s="155"/>
      <c r="T106" s="155"/>
      <c r="U106" s="155"/>
      <c r="V106" s="155"/>
      <c r="W106" s="155"/>
      <c r="X106" s="155"/>
      <c r="Y106" s="155"/>
      <c r="Z106" s="155"/>
      <c r="AA106" s="155"/>
      <c r="AB106" s="155"/>
      <c r="AC106" s="155"/>
      <c r="AD106" s="155"/>
      <c r="AE106" s="155"/>
      <c r="AF106" s="155"/>
      <c r="AG106" s="155"/>
      <c r="AH106" s="155"/>
      <c r="AI106" s="155"/>
    </row>
    <row r="107" spans="1:35" s="39" customFormat="1" x14ac:dyDescent="0.25">
      <c r="A107" s="270" t="s">
        <v>289</v>
      </c>
      <c r="B107" s="271"/>
      <c r="C107" s="271"/>
      <c r="D107" s="271"/>
      <c r="E107" s="271"/>
      <c r="F107" s="271"/>
      <c r="G107" s="271"/>
      <c r="H107" s="271"/>
      <c r="I107" s="271"/>
      <c r="J107" s="271"/>
      <c r="K107" s="271"/>
      <c r="L107" s="271"/>
      <c r="M107" s="271"/>
      <c r="N107" s="271"/>
      <c r="O107" s="271"/>
      <c r="P107" s="271"/>
      <c r="Q107" s="272"/>
      <c r="R107" s="155"/>
      <c r="S107" s="155"/>
      <c r="T107" s="155"/>
      <c r="U107" s="155"/>
      <c r="V107" s="155"/>
      <c r="W107" s="155"/>
      <c r="X107" s="155"/>
      <c r="Y107" s="155"/>
      <c r="Z107" s="155"/>
      <c r="AA107" s="155"/>
      <c r="AB107" s="155"/>
      <c r="AC107" s="155"/>
      <c r="AD107" s="155"/>
      <c r="AE107" s="155"/>
      <c r="AF107" s="155"/>
      <c r="AG107" s="155"/>
      <c r="AH107" s="155"/>
      <c r="AI107" s="155"/>
    </row>
    <row r="108" spans="1:35" s="39" customFormat="1" x14ac:dyDescent="0.25">
      <c r="A108" s="274" t="s">
        <v>290</v>
      </c>
      <c r="B108" s="271"/>
      <c r="C108" s="271"/>
      <c r="D108" s="271"/>
      <c r="E108" s="271"/>
      <c r="F108" s="271"/>
      <c r="G108" s="271"/>
      <c r="H108" s="271"/>
      <c r="I108" s="271"/>
      <c r="J108" s="271"/>
      <c r="K108" s="271"/>
      <c r="L108" s="271"/>
      <c r="M108" s="271"/>
      <c r="N108" s="271"/>
      <c r="O108" s="271"/>
      <c r="P108" s="271"/>
      <c r="Q108" s="272"/>
      <c r="R108" s="155"/>
      <c r="S108" s="155"/>
      <c r="T108" s="155"/>
      <c r="U108" s="155"/>
      <c r="V108" s="155"/>
      <c r="W108" s="155"/>
      <c r="X108" s="155"/>
      <c r="Y108" s="155"/>
      <c r="Z108" s="155"/>
      <c r="AA108" s="155"/>
      <c r="AB108" s="155"/>
      <c r="AC108" s="155"/>
      <c r="AD108" s="155"/>
      <c r="AE108" s="155"/>
      <c r="AF108" s="155"/>
      <c r="AG108" s="155"/>
      <c r="AH108" s="155"/>
      <c r="AI108" s="155"/>
    </row>
    <row r="109" spans="1:35" ht="15.75" thickBot="1" x14ac:dyDescent="0.3">
      <c r="A109" s="275"/>
      <c r="B109" s="275"/>
      <c r="C109" s="275"/>
      <c r="D109" s="275"/>
      <c r="E109" s="275"/>
      <c r="F109" s="275"/>
      <c r="G109" s="275"/>
      <c r="H109" s="275"/>
      <c r="I109" s="275"/>
      <c r="J109" s="275"/>
      <c r="K109" s="275"/>
      <c r="L109" s="275"/>
      <c r="M109" s="275"/>
      <c r="N109" s="275"/>
      <c r="O109" s="275"/>
      <c r="P109" s="275"/>
      <c r="Q109" s="276"/>
      <c r="R109" s="155"/>
      <c r="S109" s="155"/>
      <c r="T109" s="155"/>
      <c r="U109" s="155"/>
      <c r="V109" s="155"/>
      <c r="W109" s="155"/>
      <c r="X109" s="155"/>
      <c r="Y109" s="155"/>
      <c r="Z109" s="155"/>
      <c r="AA109" s="155"/>
      <c r="AB109" s="155"/>
      <c r="AC109" s="155"/>
      <c r="AD109" s="155"/>
      <c r="AE109" s="155"/>
      <c r="AF109" s="155"/>
      <c r="AG109" s="155"/>
      <c r="AH109" s="155"/>
      <c r="AI109" s="155"/>
    </row>
    <row r="110" spans="1:35" ht="102.75" customHeight="1" x14ac:dyDescent="0.25">
      <c r="A110" s="301" t="s">
        <v>305</v>
      </c>
      <c r="B110" s="302"/>
      <c r="C110" s="302"/>
      <c r="D110" s="302"/>
      <c r="E110" s="302"/>
      <c r="F110" s="302"/>
      <c r="G110" s="302"/>
      <c r="H110" s="302"/>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row>
    <row r="111" spans="1:35"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row>
    <row r="112" spans="1:35"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row>
    <row r="113" spans="1:35" x14ac:dyDescent="0.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row>
    <row r="114" spans="1:35" x14ac:dyDescent="0.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row>
    <row r="115" spans="1:35"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row>
  </sheetData>
  <sheetProtection sheet="1" objects="1" scenarios="1"/>
  <mergeCells count="1">
    <mergeCell ref="A110:H110"/>
  </mergeCells>
  <pageMargins left="0.7" right="0.7" top="0.75" bottom="0.75" header="0.3" footer="0.3"/>
  <pageSetup paperSize="9" scale="56" fitToHeight="0" orientation="portrait" r:id="rId1"/>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pageSetUpPr fitToPage="1"/>
  </sheetPr>
  <dimension ref="A1:BP222"/>
  <sheetViews>
    <sheetView zoomScale="80" zoomScaleNormal="80" workbookViewId="0">
      <selection activeCell="H37" sqref="H37"/>
    </sheetView>
  </sheetViews>
  <sheetFormatPr defaultRowHeight="15" x14ac:dyDescent="0.25"/>
  <cols>
    <col min="1" max="1" width="66.42578125" style="108" customWidth="1"/>
    <col min="2" max="2" width="44.140625" style="108" customWidth="1"/>
    <col min="3" max="3" width="43.140625" style="108" customWidth="1"/>
    <col min="4" max="4" width="3.28515625" style="108" customWidth="1"/>
    <col min="5" max="5" width="5" style="108" bestFit="1" customWidth="1"/>
    <col min="6" max="6" width="31.7109375" customWidth="1"/>
    <col min="7" max="7" width="2.5703125" customWidth="1"/>
    <col min="8" max="8" width="27.5703125" customWidth="1"/>
    <col min="9" max="9" width="2.28515625" customWidth="1"/>
    <col min="10" max="10" width="32.42578125" customWidth="1"/>
    <col min="11" max="11" width="1.85546875" customWidth="1"/>
    <col min="12" max="12" width="17.7109375" bestFit="1" customWidth="1"/>
    <col min="13" max="13" width="5.85546875" customWidth="1"/>
    <col min="14" max="14" width="6.140625" customWidth="1"/>
    <col min="15" max="15" width="6.5703125" customWidth="1"/>
  </cols>
  <sheetData>
    <row r="1" spans="1:68" s="39" customFormat="1" x14ac:dyDescent="0.25">
      <c r="A1" s="149"/>
      <c r="B1" s="149"/>
      <c r="C1" s="149"/>
      <c r="D1" s="149"/>
      <c r="E1" s="149"/>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row>
    <row r="2" spans="1:68" s="39" customFormat="1" x14ac:dyDescent="0.25">
      <c r="A2" s="149"/>
      <c r="B2" s="149"/>
      <c r="C2" s="149"/>
      <c r="D2" s="149"/>
      <c r="E2" s="149"/>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row>
    <row r="3" spans="1:68" s="39" customFormat="1" ht="45.75" customHeight="1" thickBot="1" x14ac:dyDescent="0.3">
      <c r="A3" s="149"/>
      <c r="B3" s="149"/>
      <c r="C3" s="304" t="s">
        <v>306</v>
      </c>
      <c r="D3" s="149"/>
      <c r="E3" s="149"/>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row>
    <row r="4" spans="1:68" s="39" customFormat="1" ht="21.95" customHeight="1" thickBot="1" x14ac:dyDescent="0.35">
      <c r="A4" s="257" t="s">
        <v>282</v>
      </c>
      <c r="B4" s="149"/>
      <c r="C4" s="149"/>
      <c r="D4" s="149"/>
      <c r="E4" s="149"/>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row>
    <row r="5" spans="1:68" s="39" customFormat="1" ht="16.5" thickBot="1" x14ac:dyDescent="0.3">
      <c r="A5" s="262" t="s">
        <v>150</v>
      </c>
      <c r="B5" s="264" t="s">
        <v>270</v>
      </c>
      <c r="D5" s="156"/>
      <c r="E5" s="156"/>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row>
    <row r="6" spans="1:68" s="39" customFormat="1" ht="16.5" thickBot="1" x14ac:dyDescent="0.3">
      <c r="A6" s="260" t="s">
        <v>139</v>
      </c>
      <c r="B6" s="232" t="s">
        <v>148</v>
      </c>
      <c r="C6" s="172"/>
      <c r="D6" s="156"/>
      <c r="E6" s="156"/>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row>
    <row r="7" spans="1:68" s="39" customFormat="1" ht="16.5" thickBot="1" x14ac:dyDescent="0.3">
      <c r="A7" s="256"/>
      <c r="B7" s="23"/>
      <c r="C7" s="155"/>
      <c r="D7" s="156"/>
      <c r="E7" s="156"/>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row>
    <row r="8" spans="1:68" s="39" customFormat="1" ht="16.5" thickBot="1" x14ac:dyDescent="0.3">
      <c r="A8" s="260" t="s">
        <v>54</v>
      </c>
      <c r="B8" s="230" t="s">
        <v>55</v>
      </c>
      <c r="C8" s="155"/>
      <c r="D8" s="156"/>
      <c r="E8" s="156"/>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row>
    <row r="9" spans="1:68" s="39" customFormat="1" ht="16.5" thickBot="1" x14ac:dyDescent="0.3">
      <c r="A9" s="261" t="s">
        <v>93</v>
      </c>
      <c r="B9" s="230" t="s">
        <v>229</v>
      </c>
      <c r="C9" s="155"/>
      <c r="D9" s="156"/>
      <c r="E9" s="156"/>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row>
    <row r="10" spans="1:68" s="39" customFormat="1" ht="16.5" thickBot="1" x14ac:dyDescent="0.3">
      <c r="A10" s="258" t="s">
        <v>104</v>
      </c>
      <c r="B10" s="230" t="s">
        <v>231</v>
      </c>
      <c r="C10" s="155"/>
      <c r="D10" s="156"/>
      <c r="E10" s="156"/>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row>
    <row r="11" spans="1:68" s="39" customFormat="1" ht="16.5" thickBot="1" x14ac:dyDescent="0.3">
      <c r="A11" s="11"/>
      <c r="B11" s="220"/>
      <c r="C11" s="172"/>
      <c r="D11" s="156"/>
      <c r="E11" s="156"/>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row>
    <row r="12" spans="1:68" s="39" customFormat="1" ht="16.5" thickBot="1" x14ac:dyDescent="0.3">
      <c r="A12" s="263" t="s">
        <v>259</v>
      </c>
      <c r="B12" s="220"/>
      <c r="C12" s="172"/>
      <c r="D12" s="156"/>
      <c r="E12" s="156"/>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row>
    <row r="13" spans="1:68" s="39" customFormat="1" ht="16.5" thickBot="1" x14ac:dyDescent="0.3">
      <c r="A13" s="259" t="s">
        <v>91</v>
      </c>
      <c r="B13" s="230">
        <v>250000</v>
      </c>
      <c r="C13" s="172"/>
      <c r="D13" s="156"/>
      <c r="E13" s="156"/>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row>
    <row r="14" spans="1:68" s="39" customFormat="1" ht="16.5" thickBot="1" x14ac:dyDescent="0.3">
      <c r="A14" s="259" t="s">
        <v>260</v>
      </c>
      <c r="B14" s="230">
        <v>500000</v>
      </c>
      <c r="C14" s="172"/>
      <c r="D14" s="156"/>
      <c r="E14" s="156"/>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row>
    <row r="15" spans="1:68" s="39" customFormat="1" ht="16.5" thickBot="1" x14ac:dyDescent="0.3">
      <c r="A15" s="259" t="s">
        <v>261</v>
      </c>
      <c r="B15" s="231"/>
      <c r="C15" s="172"/>
      <c r="D15" s="156"/>
      <c r="E15" s="156"/>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row>
    <row r="16" spans="1:68" s="39" customFormat="1" ht="15.75" thickBot="1" x14ac:dyDescent="0.3">
      <c r="A16" s="296" t="s">
        <v>304</v>
      </c>
      <c r="B16" s="297">
        <f>((B13*B30)+(B14*B42)+(B15*B54))</f>
        <v>130000</v>
      </c>
      <c r="C16" s="149"/>
      <c r="D16" s="149"/>
      <c r="E16" s="149"/>
      <c r="F16" s="155"/>
      <c r="G16" s="155"/>
      <c r="H16" s="155"/>
      <c r="I16" s="155"/>
      <c r="J16" s="157"/>
      <c r="K16" s="155"/>
      <c r="L16" s="157"/>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row>
    <row r="17" spans="1:68" ht="21.95" customHeight="1" thickBot="1" x14ac:dyDescent="0.4">
      <c r="A17" s="109" t="s">
        <v>67</v>
      </c>
      <c r="B17" s="214"/>
      <c r="C17" s="215"/>
      <c r="D17" s="149"/>
      <c r="E17" s="149"/>
      <c r="F17" s="157"/>
      <c r="G17" s="155"/>
      <c r="H17" s="157"/>
      <c r="I17" s="155"/>
      <c r="J17" s="157"/>
      <c r="K17" s="158"/>
      <c r="L17" s="157"/>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row>
    <row r="18" spans="1:68" s="39" customFormat="1" ht="15.6" customHeight="1" thickBot="1" x14ac:dyDescent="0.4">
      <c r="A18" s="110"/>
      <c r="B18" s="177"/>
      <c r="C18" s="189"/>
      <c r="D18" s="149"/>
      <c r="E18" s="149"/>
      <c r="F18" s="157"/>
      <c r="G18" s="155"/>
      <c r="H18" s="157"/>
      <c r="I18" s="155"/>
      <c r="J18" s="157"/>
      <c r="K18" s="158"/>
      <c r="L18" s="157"/>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row>
    <row r="19" spans="1:68" ht="17.100000000000001" customHeight="1" thickBot="1" x14ac:dyDescent="0.35">
      <c r="A19" s="111" t="s">
        <v>140</v>
      </c>
      <c r="B19" s="60" t="s">
        <v>99</v>
      </c>
      <c r="C19" s="60" t="s">
        <v>81</v>
      </c>
      <c r="D19" s="159"/>
      <c r="E19" s="159"/>
      <c r="F19" s="157"/>
      <c r="G19" s="158"/>
      <c r="H19" s="157"/>
      <c r="I19" s="155"/>
      <c r="J19" s="157"/>
      <c r="K19" s="155"/>
      <c r="L19" s="157"/>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row>
    <row r="20" spans="1:68" s="39" customFormat="1" ht="17.100000000000001" customHeight="1" thickBot="1" x14ac:dyDescent="0.35">
      <c r="A20" s="190"/>
      <c r="B20" s="247"/>
      <c r="C20" s="248"/>
      <c r="D20" s="159"/>
      <c r="E20" s="159"/>
      <c r="F20" s="157"/>
      <c r="G20" s="158"/>
      <c r="H20" s="157"/>
      <c r="I20" s="155"/>
      <c r="J20" s="157"/>
      <c r="K20" s="155"/>
      <c r="L20" s="157"/>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row>
    <row r="21" spans="1:68" s="39" customFormat="1" ht="17.100000000000001" customHeight="1" thickBot="1" x14ac:dyDescent="0.3">
      <c r="A21" s="126" t="s">
        <v>233</v>
      </c>
      <c r="B21" s="44">
        <v>20</v>
      </c>
      <c r="C21" s="44">
        <v>20</v>
      </c>
      <c r="D21" s="159"/>
      <c r="E21" s="159"/>
      <c r="F21" s="157"/>
      <c r="G21" s="158"/>
      <c r="H21" s="157"/>
      <c r="I21" s="155"/>
      <c r="J21" s="157"/>
      <c r="K21" s="155"/>
      <c r="L21" s="157"/>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row>
    <row r="22" spans="1:68" s="39" customFormat="1" ht="17.100000000000001" customHeight="1" thickBot="1" x14ac:dyDescent="0.35">
      <c r="A22" s="190"/>
      <c r="B22" s="247"/>
      <c r="C22" s="248"/>
      <c r="D22" s="159"/>
      <c r="E22" s="159"/>
      <c r="F22" s="157"/>
      <c r="G22" s="158"/>
      <c r="H22" s="157"/>
      <c r="I22" s="155"/>
      <c r="J22" s="157"/>
      <c r="K22" s="155"/>
      <c r="L22" s="157"/>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row>
    <row r="23" spans="1:68" s="39" customFormat="1" ht="17.100000000000001" customHeight="1" thickBot="1" x14ac:dyDescent="0.35">
      <c r="A23" s="154" t="s">
        <v>262</v>
      </c>
      <c r="B23" s="243" t="str">
        <f>B19</f>
        <v xml:space="preserve">Ventilation system with heat recovery </v>
      </c>
      <c r="C23" s="243" t="str">
        <f>C19</f>
        <v>Geothermal heat pump system</v>
      </c>
      <c r="D23" s="159"/>
      <c r="E23" s="159"/>
      <c r="F23" s="157"/>
      <c r="G23" s="158"/>
      <c r="H23" s="157"/>
      <c r="I23" s="155"/>
      <c r="J23" s="157"/>
      <c r="K23" s="155"/>
      <c r="L23" s="157"/>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row>
    <row r="24" spans="1:68" s="39" customFormat="1" ht="17.100000000000001" customHeight="1" thickBot="1" x14ac:dyDescent="0.3">
      <c r="A24" s="176"/>
      <c r="B24" s="146"/>
      <c r="C24" s="175"/>
      <c r="D24" s="159"/>
      <c r="E24" s="159"/>
      <c r="F24" s="157"/>
      <c r="G24" s="158"/>
      <c r="H24" s="157"/>
      <c r="I24" s="155"/>
      <c r="J24" s="157"/>
      <c r="K24" s="155"/>
      <c r="L24" s="157"/>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row>
    <row r="25" spans="1:68" s="39" customFormat="1" ht="17.100000000000001" customHeight="1" thickBot="1" x14ac:dyDescent="0.3">
      <c r="A25" s="112" t="s">
        <v>142</v>
      </c>
      <c r="B25" s="249" t="str">
        <f>B19</f>
        <v xml:space="preserve">Ventilation system with heat recovery </v>
      </c>
      <c r="C25" s="249" t="str">
        <f>C19</f>
        <v>Geothermal heat pump system</v>
      </c>
      <c r="D25" s="159"/>
      <c r="E25" s="159"/>
      <c r="F25" s="157"/>
      <c r="G25" s="158"/>
      <c r="H25" s="157"/>
      <c r="I25" s="155"/>
      <c r="J25" s="157"/>
      <c r="K25" s="155"/>
      <c r="L25" s="157"/>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row>
    <row r="26" spans="1:68" ht="15.75" thickBot="1" x14ac:dyDescent="0.3">
      <c r="A26" s="113" t="s">
        <v>68</v>
      </c>
      <c r="B26" s="50">
        <v>0.12</v>
      </c>
      <c r="C26" s="54">
        <v>0.12</v>
      </c>
      <c r="D26" s="149"/>
      <c r="E26" s="149"/>
      <c r="F26" s="155"/>
      <c r="G26" s="158"/>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row>
    <row r="27" spans="1:68" ht="15.75" thickBot="1" x14ac:dyDescent="0.3">
      <c r="A27" s="174"/>
      <c r="B27" s="146"/>
      <c r="C27" s="175"/>
      <c r="D27" s="149"/>
      <c r="E27" s="149"/>
      <c r="F27" s="153"/>
      <c r="G27" s="153"/>
      <c r="H27" s="153"/>
      <c r="I27" s="153"/>
      <c r="J27" s="153"/>
      <c r="K27" s="153"/>
      <c r="L27" s="153"/>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row>
    <row r="28" spans="1:68" ht="15.75" thickBot="1" x14ac:dyDescent="0.3">
      <c r="A28" s="113" t="s">
        <v>257</v>
      </c>
      <c r="B28" s="56">
        <v>2000</v>
      </c>
      <c r="C28" s="55">
        <v>170000</v>
      </c>
      <c r="D28" s="149"/>
      <c r="E28" s="149"/>
      <c r="F28" s="153"/>
      <c r="G28" s="160"/>
      <c r="H28" s="153"/>
      <c r="I28" s="153"/>
      <c r="J28" s="153"/>
      <c r="K28" s="153"/>
      <c r="L28" s="153"/>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row>
    <row r="29" spans="1:68" ht="15.75" thickBot="1" x14ac:dyDescent="0.3">
      <c r="A29" s="174"/>
      <c r="B29" s="146"/>
      <c r="C29" s="175"/>
      <c r="D29" s="149"/>
      <c r="E29" s="149"/>
      <c r="F29" s="153"/>
      <c r="G29" s="153"/>
      <c r="H29" s="153"/>
      <c r="I29" s="153"/>
      <c r="J29" s="153"/>
      <c r="K29" s="153"/>
      <c r="L29" s="153"/>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row>
    <row r="30" spans="1:68" ht="15.75" thickBot="1" x14ac:dyDescent="0.3">
      <c r="A30" s="113" t="s">
        <v>194</v>
      </c>
      <c r="B30" s="44">
        <v>0.2</v>
      </c>
      <c r="C30" s="44">
        <v>0.2</v>
      </c>
      <c r="D30" s="149"/>
      <c r="E30" s="149"/>
      <c r="F30" s="153"/>
      <c r="G30" s="153"/>
      <c r="H30" s="153"/>
      <c r="I30" s="153"/>
      <c r="J30" s="153"/>
      <c r="K30" s="153"/>
      <c r="L30" s="153"/>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row>
    <row r="31" spans="1:68" ht="15.75" thickBot="1" x14ac:dyDescent="0.3">
      <c r="A31" s="114"/>
      <c r="B31" s="146"/>
      <c r="C31" s="175"/>
      <c r="D31" s="161"/>
      <c r="E31" s="149"/>
      <c r="F31" s="153"/>
      <c r="G31" s="153"/>
      <c r="H31" s="153"/>
      <c r="I31" s="153"/>
      <c r="J31" s="153"/>
      <c r="K31" s="153"/>
      <c r="L31" s="153"/>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row>
    <row r="32" spans="1:68" ht="15.75" thickBot="1" x14ac:dyDescent="0.3">
      <c r="A32" s="113" t="s">
        <v>198</v>
      </c>
      <c r="B32" s="52">
        <v>0.03</v>
      </c>
      <c r="C32" s="52">
        <v>0.03</v>
      </c>
      <c r="D32" s="145"/>
      <c r="E32" s="149"/>
      <c r="F32" s="153"/>
      <c r="G32" s="153"/>
      <c r="H32" s="153"/>
      <c r="I32" s="153"/>
      <c r="J32" s="153"/>
      <c r="K32" s="153"/>
      <c r="L32" s="153"/>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row>
    <row r="33" spans="1:68" ht="15.75" thickBot="1" x14ac:dyDescent="0.3">
      <c r="A33" s="176"/>
      <c r="B33" s="250"/>
      <c r="C33" s="194"/>
      <c r="D33" s="161"/>
      <c r="E33" s="149"/>
      <c r="F33" s="153"/>
      <c r="G33" s="153"/>
      <c r="H33" s="153"/>
      <c r="I33" s="153"/>
      <c r="J33" s="153"/>
      <c r="K33" s="153"/>
      <c r="L33" s="153"/>
      <c r="M33" s="162"/>
      <c r="N33" s="162"/>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row>
    <row r="34" spans="1:68" ht="15.75" thickBot="1" x14ac:dyDescent="0.3">
      <c r="A34" s="113" t="s">
        <v>199</v>
      </c>
      <c r="B34" s="52">
        <v>0.06</v>
      </c>
      <c r="C34" s="52">
        <v>0.06</v>
      </c>
      <c r="D34" s="161"/>
      <c r="E34" s="149"/>
      <c r="F34" s="153"/>
      <c r="G34" s="153"/>
      <c r="H34" s="153"/>
      <c r="I34" s="153"/>
      <c r="J34" s="153"/>
      <c r="K34" s="153"/>
      <c r="L34" s="153"/>
      <c r="M34" s="162"/>
      <c r="N34" s="162"/>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row>
    <row r="35" spans="1:68" ht="15.75" thickBot="1" x14ac:dyDescent="0.3">
      <c r="A35" s="116"/>
      <c r="B35" s="131"/>
      <c r="C35" s="141"/>
      <c r="D35" s="161"/>
      <c r="E35" s="149"/>
      <c r="F35" s="153"/>
      <c r="G35" s="153"/>
      <c r="H35" s="153"/>
      <c r="I35" s="153"/>
      <c r="J35" s="153"/>
      <c r="K35" s="153"/>
      <c r="L35" s="153"/>
      <c r="M35" s="162"/>
      <c r="N35" s="162"/>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row>
    <row r="36" spans="1:68" ht="15.75" thickBot="1" x14ac:dyDescent="0.3">
      <c r="A36" s="174"/>
      <c r="B36" s="146"/>
      <c r="C36" s="175"/>
      <c r="D36" s="145"/>
      <c r="E36" s="149"/>
      <c r="F36" s="153"/>
      <c r="G36" s="153"/>
      <c r="H36" s="153"/>
      <c r="I36" s="153"/>
      <c r="J36" s="153"/>
      <c r="K36" s="153"/>
      <c r="L36" s="153"/>
      <c r="M36" s="155"/>
      <c r="N36" s="157"/>
      <c r="O36" s="155"/>
      <c r="P36" s="157"/>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row>
    <row r="37" spans="1:68" s="39" customFormat="1" ht="16.5" thickBot="1" x14ac:dyDescent="0.3">
      <c r="A37" s="117" t="s">
        <v>143</v>
      </c>
      <c r="B37" s="246" t="str">
        <f>B19</f>
        <v xml:space="preserve">Ventilation system with heat recovery </v>
      </c>
      <c r="C37" s="246" t="str">
        <f>C19</f>
        <v>Geothermal heat pump system</v>
      </c>
      <c r="D37" s="145"/>
      <c r="E37" s="149"/>
      <c r="F37" s="153"/>
      <c r="G37" s="153"/>
      <c r="H37" s="153"/>
      <c r="I37" s="153"/>
      <c r="J37" s="153"/>
      <c r="K37" s="153"/>
      <c r="L37" s="153"/>
      <c r="M37" s="155"/>
      <c r="N37" s="157"/>
      <c r="O37" s="155"/>
      <c r="P37" s="157"/>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row>
    <row r="38" spans="1:68" s="39" customFormat="1" ht="15.75" thickBot="1" x14ac:dyDescent="0.3">
      <c r="A38" s="118" t="s">
        <v>98</v>
      </c>
      <c r="B38" s="48">
        <v>0.09</v>
      </c>
      <c r="C38" s="54">
        <v>0.09</v>
      </c>
      <c r="D38" s="145"/>
      <c r="E38" s="149"/>
      <c r="F38" s="153"/>
      <c r="G38" s="153"/>
      <c r="H38" s="153"/>
      <c r="I38" s="153"/>
      <c r="J38" s="153"/>
      <c r="K38" s="153"/>
      <c r="L38" s="153"/>
      <c r="M38" s="155"/>
      <c r="N38" s="157"/>
      <c r="O38" s="155"/>
      <c r="P38" s="157"/>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row>
    <row r="39" spans="1:68" ht="15.75" thickBot="1" x14ac:dyDescent="0.3">
      <c r="A39" s="114"/>
      <c r="B39" s="146"/>
      <c r="C39" s="175"/>
      <c r="D39" s="161"/>
      <c r="E39" s="149"/>
      <c r="F39" s="153"/>
      <c r="G39" s="153"/>
      <c r="H39" s="153"/>
      <c r="I39" s="153"/>
      <c r="J39" s="153"/>
      <c r="K39" s="153"/>
      <c r="L39" s="153"/>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row>
    <row r="40" spans="1:68" ht="15.75" thickBot="1" x14ac:dyDescent="0.3">
      <c r="A40" s="118" t="s">
        <v>256</v>
      </c>
      <c r="B40" s="57">
        <v>-130000</v>
      </c>
      <c r="C40" s="56">
        <v>-500000</v>
      </c>
      <c r="D40" s="145"/>
      <c r="E40" s="149"/>
      <c r="F40" s="153"/>
      <c r="G40" s="153"/>
      <c r="H40" s="153"/>
      <c r="I40" s="153"/>
      <c r="J40" s="153"/>
      <c r="K40" s="153"/>
      <c r="L40" s="153"/>
      <c r="M40" s="163"/>
      <c r="N40" s="164"/>
      <c r="O40" s="155"/>
      <c r="P40" s="16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row>
    <row r="41" spans="1:68" ht="15.75" thickBot="1" x14ac:dyDescent="0.3">
      <c r="A41" s="174"/>
      <c r="B41" s="174"/>
      <c r="C41" s="175"/>
      <c r="D41" s="166"/>
      <c r="E41" s="149"/>
      <c r="F41" s="153"/>
      <c r="G41" s="153"/>
      <c r="H41" s="153"/>
      <c r="I41" s="160"/>
      <c r="J41" s="153"/>
      <c r="K41" s="153"/>
      <c r="L41" s="153"/>
      <c r="M41" s="155"/>
      <c r="N41" s="165"/>
      <c r="O41" s="155"/>
      <c r="P41" s="16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row>
    <row r="42" spans="1:68" ht="15.75" thickBot="1" x14ac:dyDescent="0.3">
      <c r="A42" s="118" t="s">
        <v>195</v>
      </c>
      <c r="B42" s="46">
        <v>0.16</v>
      </c>
      <c r="C42" s="44">
        <v>0.16</v>
      </c>
      <c r="D42" s="145"/>
      <c r="E42" s="149"/>
      <c r="F42" s="153"/>
      <c r="G42" s="153"/>
      <c r="H42" s="153"/>
      <c r="I42" s="153"/>
      <c r="J42" s="153"/>
      <c r="K42" s="153"/>
      <c r="L42" s="153"/>
      <c r="M42" s="167"/>
      <c r="N42" s="165"/>
      <c r="O42" s="155"/>
      <c r="P42" s="16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row>
    <row r="43" spans="1:68" ht="15.75" thickBot="1" x14ac:dyDescent="0.3">
      <c r="A43" s="174"/>
      <c r="B43" s="146"/>
      <c r="C43" s="175"/>
      <c r="D43" s="168"/>
      <c r="E43" s="149"/>
      <c r="F43" s="153"/>
      <c r="G43" s="153"/>
      <c r="H43" s="153"/>
      <c r="I43" s="153"/>
      <c r="J43" s="153"/>
      <c r="K43" s="153"/>
      <c r="L43" s="153"/>
      <c r="M43" s="155"/>
      <c r="N43" s="165"/>
      <c r="O43" s="155"/>
      <c r="P43" s="16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row>
    <row r="44" spans="1:68" ht="15.75" thickBot="1" x14ac:dyDescent="0.3">
      <c r="A44" s="118" t="s">
        <v>200</v>
      </c>
      <c r="B44" s="51">
        <v>0.03</v>
      </c>
      <c r="C44" s="52">
        <v>0.03</v>
      </c>
      <c r="D44" s="145"/>
      <c r="E44" s="149"/>
      <c r="F44" s="153"/>
      <c r="G44" s="153"/>
      <c r="H44" s="153"/>
      <c r="I44" s="153"/>
      <c r="J44" s="153"/>
      <c r="K44" s="153"/>
      <c r="L44" s="153"/>
      <c r="M44" s="163"/>
      <c r="N44" s="164"/>
      <c r="O44" s="155"/>
      <c r="P44" s="16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row>
    <row r="45" spans="1:68" ht="15.75" thickBot="1" x14ac:dyDescent="0.3">
      <c r="A45" s="176"/>
      <c r="B45" s="250"/>
      <c r="C45" s="194"/>
      <c r="D45" s="168"/>
      <c r="E45" s="149"/>
      <c r="F45" s="153"/>
      <c r="G45" s="153"/>
      <c r="H45" s="153"/>
      <c r="I45" s="153"/>
      <c r="J45" s="153"/>
      <c r="K45" s="153"/>
      <c r="L45" s="153"/>
      <c r="M45" s="155"/>
      <c r="N45" s="165"/>
      <c r="O45" s="155"/>
      <c r="P45" s="16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row>
    <row r="46" spans="1:68" ht="15.75" thickBot="1" x14ac:dyDescent="0.3">
      <c r="A46" s="118" t="s">
        <v>201</v>
      </c>
      <c r="B46" s="51">
        <v>0.06</v>
      </c>
      <c r="C46" s="52">
        <v>0.06</v>
      </c>
      <c r="D46" s="168"/>
      <c r="E46" s="149"/>
      <c r="F46" s="153"/>
      <c r="G46" s="153"/>
      <c r="H46" s="153"/>
      <c r="I46" s="153"/>
      <c r="J46" s="153"/>
      <c r="K46" s="153"/>
      <c r="L46" s="153"/>
      <c r="M46" s="155"/>
      <c r="N46" s="165"/>
      <c r="O46" s="155"/>
      <c r="P46" s="16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row>
    <row r="47" spans="1:68" ht="15.75" thickBot="1" x14ac:dyDescent="0.3">
      <c r="A47" s="119"/>
      <c r="B47" s="132"/>
      <c r="C47" s="142"/>
      <c r="D47" s="168"/>
      <c r="E47" s="149"/>
      <c r="F47" s="153"/>
      <c r="G47" s="153"/>
      <c r="H47" s="153"/>
      <c r="I47" s="153"/>
      <c r="J47" s="153"/>
      <c r="K47" s="153"/>
      <c r="L47" s="153"/>
      <c r="M47" s="155"/>
      <c r="N47" s="165"/>
      <c r="O47" s="155"/>
      <c r="P47" s="16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row>
    <row r="48" spans="1:68" ht="15.75" thickBot="1" x14ac:dyDescent="0.3">
      <c r="A48" s="176"/>
      <c r="B48" s="251"/>
      <c r="C48" s="194"/>
      <c r="D48" s="168"/>
      <c r="E48" s="149"/>
      <c r="F48" s="153"/>
      <c r="G48" s="153"/>
      <c r="H48" s="153"/>
      <c r="I48" s="153"/>
      <c r="J48" s="153"/>
      <c r="K48" s="153"/>
      <c r="L48" s="153"/>
      <c r="M48" s="155"/>
      <c r="N48" s="165"/>
      <c r="O48" s="155"/>
      <c r="P48" s="16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row>
    <row r="49" spans="1:68" s="39" customFormat="1" ht="16.5" thickBot="1" x14ac:dyDescent="0.3">
      <c r="A49" s="120" t="s">
        <v>192</v>
      </c>
      <c r="B49" s="252" t="str">
        <f>B19</f>
        <v xml:space="preserve">Ventilation system with heat recovery </v>
      </c>
      <c r="C49" s="253" t="str">
        <f>C19</f>
        <v>Geothermal heat pump system</v>
      </c>
      <c r="D49" s="168"/>
      <c r="E49" s="149"/>
      <c r="F49" s="153"/>
      <c r="G49" s="153"/>
      <c r="H49" s="153"/>
      <c r="I49" s="153"/>
      <c r="J49" s="153"/>
      <c r="K49" s="153"/>
      <c r="L49" s="153"/>
      <c r="M49" s="155"/>
      <c r="N49" s="165"/>
      <c r="O49" s="155"/>
      <c r="P49" s="16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row>
    <row r="50" spans="1:68" s="39" customFormat="1" ht="15.75" thickBot="1" x14ac:dyDescent="0.3">
      <c r="A50" s="121" t="s">
        <v>102</v>
      </c>
      <c r="B50" s="49">
        <v>0.03</v>
      </c>
      <c r="C50" s="53">
        <v>0.03</v>
      </c>
      <c r="D50" s="168"/>
      <c r="E50" s="149"/>
      <c r="F50" s="153"/>
      <c r="G50" s="153"/>
      <c r="H50" s="153"/>
      <c r="I50" s="153"/>
      <c r="J50" s="153"/>
      <c r="K50" s="153"/>
      <c r="L50" s="153"/>
      <c r="M50" s="155"/>
      <c r="N50" s="165"/>
      <c r="O50" s="155"/>
      <c r="P50" s="16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row>
    <row r="51" spans="1:68" ht="15.75" thickBot="1" x14ac:dyDescent="0.3">
      <c r="A51" s="176"/>
      <c r="B51" s="251"/>
      <c r="C51" s="194"/>
      <c r="D51" s="168"/>
      <c r="E51" s="149"/>
      <c r="F51" s="153"/>
      <c r="G51" s="153"/>
      <c r="H51" s="153"/>
      <c r="I51" s="153"/>
      <c r="J51" s="153"/>
      <c r="K51" s="153"/>
      <c r="L51" s="153"/>
      <c r="M51" s="155"/>
      <c r="N51" s="165"/>
      <c r="O51" s="155"/>
      <c r="P51" s="16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row>
    <row r="52" spans="1:68" ht="15.75" thickBot="1" x14ac:dyDescent="0.3">
      <c r="A52" s="121" t="s">
        <v>258</v>
      </c>
      <c r="B52" s="59">
        <v>0</v>
      </c>
      <c r="C52" s="58">
        <v>0</v>
      </c>
      <c r="D52" s="168"/>
      <c r="E52" s="149"/>
      <c r="F52" s="153"/>
      <c r="G52" s="153"/>
      <c r="H52" s="153"/>
      <c r="I52" s="153"/>
      <c r="J52" s="153"/>
      <c r="K52" s="153"/>
      <c r="L52" s="153"/>
      <c r="M52" s="155"/>
      <c r="N52" s="165"/>
      <c r="O52" s="155"/>
      <c r="P52" s="16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row>
    <row r="53" spans="1:68" ht="15.75" thickBot="1" x14ac:dyDescent="0.3">
      <c r="A53" s="176"/>
      <c r="B53" s="251"/>
      <c r="C53" s="194"/>
      <c r="D53" s="168"/>
      <c r="E53" s="149"/>
      <c r="F53" s="153"/>
      <c r="G53" s="153"/>
      <c r="H53" s="153"/>
      <c r="I53" s="153"/>
      <c r="J53" s="153"/>
      <c r="K53" s="153"/>
      <c r="L53" s="153"/>
      <c r="M53" s="155"/>
      <c r="N53" s="165"/>
      <c r="O53" s="155"/>
      <c r="P53" s="16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row>
    <row r="54" spans="1:68" ht="15.75" thickBot="1" x14ac:dyDescent="0.3">
      <c r="A54" s="121" t="s">
        <v>196</v>
      </c>
      <c r="B54" s="47">
        <v>1.4999999999999999E-2</v>
      </c>
      <c r="C54" s="45">
        <v>1.4999999999999999E-2</v>
      </c>
      <c r="D54" s="168"/>
      <c r="E54" s="149"/>
      <c r="F54" s="153"/>
      <c r="G54" s="153"/>
      <c r="H54" s="153"/>
      <c r="I54" s="153"/>
      <c r="J54" s="153"/>
      <c r="K54" s="153"/>
      <c r="L54" s="153"/>
      <c r="M54" s="155"/>
      <c r="N54" s="165"/>
      <c r="O54" s="155"/>
      <c r="P54" s="16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row>
    <row r="55" spans="1:68" ht="15.75" thickBot="1" x14ac:dyDescent="0.3">
      <c r="A55" s="176"/>
      <c r="B55" s="251"/>
      <c r="C55" s="194"/>
      <c r="D55" s="168"/>
      <c r="E55" s="149"/>
      <c r="F55" s="153"/>
      <c r="G55" s="153"/>
      <c r="H55" s="153"/>
      <c r="I55" s="153"/>
      <c r="J55" s="153"/>
      <c r="K55" s="153"/>
      <c r="L55" s="153"/>
      <c r="M55" s="155"/>
      <c r="N55" s="165"/>
      <c r="O55" s="155"/>
      <c r="P55" s="16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row>
    <row r="56" spans="1:68" ht="15.75" thickBot="1" x14ac:dyDescent="0.3">
      <c r="A56" s="121" t="s">
        <v>202</v>
      </c>
      <c r="B56" s="51">
        <v>0.03</v>
      </c>
      <c r="C56" s="52">
        <v>0.03</v>
      </c>
      <c r="D56" s="168"/>
      <c r="E56" s="149"/>
      <c r="F56" s="153"/>
      <c r="G56" s="153"/>
      <c r="H56" s="153"/>
      <c r="I56" s="153"/>
      <c r="J56" s="153"/>
      <c r="K56" s="153"/>
      <c r="L56" s="153"/>
      <c r="M56" s="155"/>
      <c r="N56" s="165"/>
      <c r="O56" s="155"/>
      <c r="P56" s="16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row>
    <row r="57" spans="1:68" ht="15.75" thickBot="1" x14ac:dyDescent="0.3">
      <c r="A57" s="176"/>
      <c r="B57" s="250"/>
      <c r="C57" s="194"/>
      <c r="D57" s="168"/>
      <c r="E57" s="149"/>
      <c r="F57" s="153"/>
      <c r="G57" s="153"/>
      <c r="H57" s="153"/>
      <c r="I57" s="153"/>
      <c r="J57" s="153"/>
      <c r="K57" s="153"/>
      <c r="L57" s="153"/>
      <c r="M57" s="155"/>
      <c r="N57" s="165"/>
      <c r="O57" s="155"/>
      <c r="P57" s="16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row>
    <row r="58" spans="1:68" ht="15.75" thickBot="1" x14ac:dyDescent="0.3">
      <c r="A58" s="121" t="s">
        <v>203</v>
      </c>
      <c r="B58" s="51">
        <v>0.06</v>
      </c>
      <c r="C58" s="52">
        <v>0.06</v>
      </c>
      <c r="D58" s="168"/>
      <c r="E58" s="149"/>
      <c r="F58" s="153"/>
      <c r="G58" s="153"/>
      <c r="H58" s="153"/>
      <c r="I58" s="153"/>
      <c r="J58" s="153"/>
      <c r="K58" s="153"/>
      <c r="L58" s="153"/>
      <c r="M58" s="155"/>
      <c r="N58" s="165"/>
      <c r="O58" s="155"/>
      <c r="P58" s="16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row>
    <row r="59" spans="1:68" ht="15.75" thickBot="1" x14ac:dyDescent="0.3">
      <c r="A59" s="122"/>
      <c r="B59" s="133"/>
      <c r="C59" s="143"/>
      <c r="D59" s="168"/>
      <c r="E59" s="149"/>
      <c r="F59" s="153"/>
      <c r="G59" s="153"/>
      <c r="H59" s="153"/>
      <c r="I59" s="153"/>
      <c r="J59" s="153"/>
      <c r="K59" s="153"/>
      <c r="L59" s="153"/>
      <c r="M59" s="155"/>
      <c r="N59" s="165"/>
      <c r="O59" s="155"/>
      <c r="P59" s="16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row>
    <row r="60" spans="1:68" s="39" customFormat="1" ht="15.75" thickBot="1" x14ac:dyDescent="0.3">
      <c r="A60" s="174"/>
      <c r="B60" s="146"/>
      <c r="C60" s="175"/>
      <c r="D60" s="168"/>
      <c r="E60" s="149"/>
      <c r="F60" s="153"/>
      <c r="G60" s="153"/>
      <c r="H60" s="153"/>
      <c r="I60" s="153"/>
      <c r="J60" s="153"/>
      <c r="K60" s="153"/>
      <c r="L60" s="153"/>
      <c r="M60" s="155"/>
      <c r="N60" s="165"/>
      <c r="O60" s="155"/>
      <c r="P60" s="16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row>
    <row r="61" spans="1:68" s="39" customFormat="1" ht="16.5" thickBot="1" x14ac:dyDescent="0.3">
      <c r="A61" s="123" t="s">
        <v>193</v>
      </c>
      <c r="B61" s="245" t="str">
        <f>B19</f>
        <v xml:space="preserve">Ventilation system with heat recovery </v>
      </c>
      <c r="C61" s="245" t="str">
        <f>C19</f>
        <v>Geothermal heat pump system</v>
      </c>
      <c r="D61" s="168"/>
      <c r="E61" s="149"/>
      <c r="F61" s="153"/>
      <c r="G61" s="153"/>
      <c r="H61" s="153"/>
      <c r="I61" s="153"/>
      <c r="J61" s="153"/>
      <c r="K61" s="153"/>
      <c r="L61" s="153"/>
      <c r="M61" s="155"/>
      <c r="N61" s="165"/>
      <c r="O61" s="155"/>
      <c r="P61" s="16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row>
    <row r="62" spans="1:68" s="39" customFormat="1" ht="15.75" thickBot="1" x14ac:dyDescent="0.3">
      <c r="A62" s="147" t="s">
        <v>152</v>
      </c>
      <c r="B62" s="64">
        <v>6</v>
      </c>
      <c r="C62" s="64">
        <v>6</v>
      </c>
      <c r="D62" s="168"/>
      <c r="E62" s="149"/>
      <c r="F62" s="153"/>
      <c r="G62" s="153"/>
      <c r="H62" s="153"/>
      <c r="I62" s="153"/>
      <c r="J62" s="153"/>
      <c r="K62" s="153"/>
      <c r="L62" s="153"/>
      <c r="M62" s="155"/>
      <c r="N62" s="165"/>
      <c r="O62" s="155"/>
      <c r="P62" s="16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row>
    <row r="63" spans="1:68" s="39" customFormat="1" ht="15.75" thickBot="1" x14ac:dyDescent="0.3">
      <c r="A63" s="174"/>
      <c r="B63" s="146"/>
      <c r="C63" s="175"/>
      <c r="D63" s="168"/>
      <c r="E63" s="149"/>
      <c r="F63" s="153"/>
      <c r="G63" s="153"/>
      <c r="H63" s="153"/>
      <c r="I63" s="153"/>
      <c r="J63" s="153"/>
      <c r="K63" s="153"/>
      <c r="L63" s="153"/>
      <c r="M63" s="155"/>
      <c r="N63" s="165"/>
      <c r="O63" s="155"/>
      <c r="P63" s="16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row>
    <row r="64" spans="1:68" ht="15.75" thickBot="1" x14ac:dyDescent="0.3">
      <c r="A64" s="147" t="s">
        <v>271</v>
      </c>
      <c r="B64" s="64">
        <v>0</v>
      </c>
      <c r="C64" s="65">
        <v>0</v>
      </c>
      <c r="D64" s="145"/>
      <c r="E64" s="149"/>
      <c r="F64" s="153"/>
      <c r="G64" s="153"/>
      <c r="H64" s="153"/>
      <c r="I64" s="153"/>
      <c r="J64" s="153"/>
      <c r="K64" s="153"/>
      <c r="L64" s="153"/>
      <c r="M64" s="155"/>
      <c r="N64" s="165"/>
      <c r="O64" s="155"/>
      <c r="P64" s="16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row>
    <row r="65" spans="1:68" s="39" customFormat="1" ht="15.75" thickBot="1" x14ac:dyDescent="0.3">
      <c r="A65" s="180"/>
      <c r="B65" s="178"/>
      <c r="C65" s="179"/>
      <c r="D65" s="145"/>
      <c r="E65" s="149"/>
      <c r="F65" s="153"/>
      <c r="G65" s="153"/>
      <c r="H65" s="153"/>
      <c r="I65" s="153"/>
      <c r="J65" s="153"/>
      <c r="K65" s="153"/>
      <c r="L65" s="153"/>
      <c r="M65" s="155"/>
      <c r="N65" s="165"/>
      <c r="O65" s="155"/>
      <c r="P65" s="16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row>
    <row r="66" spans="1:68" s="39" customFormat="1" ht="15.75" thickBot="1" x14ac:dyDescent="0.3">
      <c r="A66" s="148" t="s">
        <v>204</v>
      </c>
      <c r="B66" s="66">
        <v>0.02</v>
      </c>
      <c r="C66" s="66">
        <v>0.02</v>
      </c>
      <c r="D66" s="145"/>
      <c r="E66" s="149"/>
      <c r="F66" s="153"/>
      <c r="G66" s="153"/>
      <c r="H66" s="153"/>
      <c r="I66" s="153"/>
      <c r="J66" s="153"/>
      <c r="K66" s="153"/>
      <c r="L66" s="153"/>
      <c r="M66" s="155"/>
      <c r="N66" s="165"/>
      <c r="O66" s="155"/>
      <c r="P66" s="16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row>
    <row r="67" spans="1:68" s="39" customFormat="1" ht="15.75" thickBot="1" x14ac:dyDescent="0.3">
      <c r="A67" s="180"/>
      <c r="B67" s="178"/>
      <c r="C67" s="179"/>
      <c r="D67" s="145"/>
      <c r="E67" s="149"/>
      <c r="F67" s="153"/>
      <c r="G67" s="153"/>
      <c r="H67" s="153"/>
      <c r="I67" s="153"/>
      <c r="J67" s="153"/>
      <c r="K67" s="153"/>
      <c r="L67" s="153"/>
      <c r="M67" s="155"/>
      <c r="N67" s="165"/>
      <c r="O67" s="155"/>
      <c r="P67" s="16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row>
    <row r="68" spans="1:68" s="39" customFormat="1" ht="15.75" thickBot="1" x14ac:dyDescent="0.3">
      <c r="A68" s="148" t="s">
        <v>205</v>
      </c>
      <c r="B68" s="66">
        <v>0.04</v>
      </c>
      <c r="C68" s="66">
        <v>0.04</v>
      </c>
      <c r="D68" s="145"/>
      <c r="E68" s="149"/>
      <c r="F68" s="153"/>
      <c r="G68" s="153"/>
      <c r="H68" s="153"/>
      <c r="I68" s="153"/>
      <c r="J68" s="153"/>
      <c r="K68" s="153"/>
      <c r="L68" s="153"/>
      <c r="M68" s="155"/>
      <c r="N68" s="165"/>
      <c r="O68" s="155"/>
      <c r="P68" s="16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row>
    <row r="69" spans="1:68" s="11" customFormat="1" ht="15.75" thickBot="1" x14ac:dyDescent="0.3">
      <c r="A69" s="124"/>
      <c r="B69" s="134"/>
      <c r="C69" s="144"/>
      <c r="D69" s="145"/>
      <c r="E69" s="149"/>
      <c r="F69" s="153"/>
      <c r="G69" s="153"/>
      <c r="H69" s="153"/>
      <c r="I69" s="153"/>
      <c r="J69" s="153"/>
      <c r="K69" s="153"/>
      <c r="L69" s="153"/>
      <c r="M69" s="155"/>
      <c r="N69" s="165"/>
      <c r="O69" s="155"/>
      <c r="P69" s="16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row>
    <row r="70" spans="1:68" s="11" customFormat="1" ht="15.75" thickBot="1" x14ac:dyDescent="0.3">
      <c r="A70" s="176"/>
      <c r="B70" s="146"/>
      <c r="C70" s="175"/>
      <c r="D70" s="145"/>
      <c r="E70" s="149"/>
      <c r="F70" s="153"/>
      <c r="G70" s="153"/>
      <c r="H70" s="153"/>
      <c r="I70" s="153"/>
      <c r="J70" s="153"/>
      <c r="K70" s="153"/>
      <c r="L70" s="153"/>
      <c r="M70" s="155"/>
      <c r="N70" s="165"/>
      <c r="O70" s="155"/>
      <c r="P70" s="16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row>
    <row r="71" spans="1:68" s="11" customFormat="1" ht="19.5" thickBot="1" x14ac:dyDescent="0.35">
      <c r="A71" s="154" t="s">
        <v>241</v>
      </c>
      <c r="B71" s="243" t="str">
        <f>B19</f>
        <v xml:space="preserve">Ventilation system with heat recovery </v>
      </c>
      <c r="C71" s="243" t="str">
        <f>C19</f>
        <v>Geothermal heat pump system</v>
      </c>
      <c r="D71" s="145"/>
      <c r="E71" s="149"/>
      <c r="F71" s="153"/>
      <c r="G71" s="153"/>
      <c r="H71" s="153"/>
      <c r="I71" s="153"/>
      <c r="J71" s="153"/>
      <c r="K71" s="153"/>
      <c r="L71" s="153"/>
      <c r="M71" s="155"/>
      <c r="N71" s="165"/>
      <c r="O71" s="155"/>
      <c r="P71" s="16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row>
    <row r="72" spans="1:68" s="39" customFormat="1" ht="15.75" thickBot="1" x14ac:dyDescent="0.3">
      <c r="A72" s="174"/>
      <c r="B72" s="146"/>
      <c r="C72" s="175"/>
      <c r="D72" s="145"/>
      <c r="E72" s="149"/>
      <c r="F72" s="153"/>
      <c r="G72" s="153"/>
      <c r="H72" s="153"/>
      <c r="I72" s="153"/>
      <c r="J72" s="153"/>
      <c r="K72" s="153"/>
      <c r="L72" s="153"/>
      <c r="M72" s="155"/>
      <c r="N72" s="165"/>
      <c r="O72" s="155"/>
      <c r="P72" s="16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row>
    <row r="73" spans="1:68" ht="15.75" thickBot="1" x14ac:dyDescent="0.3">
      <c r="A73" s="125" t="s">
        <v>191</v>
      </c>
      <c r="B73" s="56">
        <v>184000</v>
      </c>
      <c r="C73" s="56">
        <v>250000</v>
      </c>
      <c r="D73" s="168"/>
      <c r="E73" s="149"/>
      <c r="F73" s="153"/>
      <c r="G73" s="153"/>
      <c r="H73" s="153"/>
      <c r="I73" s="153"/>
      <c r="J73" s="153"/>
      <c r="K73" s="153"/>
      <c r="L73" s="153"/>
      <c r="M73" s="155"/>
      <c r="N73" s="165"/>
      <c r="O73" s="155"/>
      <c r="P73" s="16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row>
    <row r="74" spans="1:68" s="11" customFormat="1" ht="15.75" thickBot="1" x14ac:dyDescent="0.3">
      <c r="A74" s="176"/>
      <c r="B74" s="184"/>
      <c r="C74" s="191"/>
      <c r="D74" s="145"/>
      <c r="E74" s="149"/>
      <c r="F74" s="153"/>
      <c r="G74" s="153"/>
      <c r="H74" s="153"/>
      <c r="I74" s="153"/>
      <c r="J74" s="153"/>
      <c r="K74" s="153"/>
      <c r="L74" s="153"/>
      <c r="M74" s="155"/>
      <c r="N74" s="165"/>
      <c r="O74" s="155"/>
      <c r="P74" s="16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row>
    <row r="75" spans="1:68" ht="15.75" thickBot="1" x14ac:dyDescent="0.3">
      <c r="A75" s="125" t="s">
        <v>92</v>
      </c>
      <c r="B75" s="40">
        <v>0.01</v>
      </c>
      <c r="C75" s="40">
        <v>0.01</v>
      </c>
      <c r="D75" s="145"/>
      <c r="E75" s="149"/>
      <c r="F75" s="153"/>
      <c r="G75" s="153"/>
      <c r="H75" s="153"/>
      <c r="I75" s="153"/>
      <c r="J75" s="153"/>
      <c r="K75" s="153"/>
      <c r="L75" s="153"/>
      <c r="M75" s="155"/>
      <c r="N75" s="165"/>
      <c r="O75" s="155"/>
      <c r="P75" s="16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row>
    <row r="76" spans="1:68" ht="15.75" thickBot="1" x14ac:dyDescent="0.3">
      <c r="A76" s="174"/>
      <c r="B76" s="184"/>
      <c r="C76" s="191"/>
      <c r="D76" s="145"/>
      <c r="E76" s="149"/>
      <c r="F76" s="153"/>
      <c r="G76" s="153"/>
      <c r="H76" s="153"/>
      <c r="I76" s="153"/>
      <c r="J76" s="153"/>
      <c r="K76" s="153"/>
      <c r="L76" s="153"/>
      <c r="M76" s="155"/>
      <c r="N76" s="165"/>
      <c r="O76" s="155"/>
      <c r="P76" s="16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row>
    <row r="77" spans="1:68" ht="15.75" thickBot="1" x14ac:dyDescent="0.3">
      <c r="A77" s="125" t="s">
        <v>297</v>
      </c>
      <c r="B77" s="40">
        <v>0.15</v>
      </c>
      <c r="C77" s="40">
        <v>0.15</v>
      </c>
      <c r="D77" s="145"/>
      <c r="E77" s="149"/>
      <c r="F77" s="153"/>
      <c r="G77" s="153"/>
      <c r="H77" s="153"/>
      <c r="I77" s="153"/>
      <c r="J77" s="153"/>
      <c r="K77" s="153"/>
      <c r="L77" s="153"/>
      <c r="M77" s="155"/>
      <c r="N77" s="165"/>
      <c r="O77" s="155"/>
      <c r="P77" s="16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row>
    <row r="78" spans="1:68" s="39" customFormat="1" ht="15.75" thickBot="1" x14ac:dyDescent="0.3">
      <c r="A78" s="114"/>
      <c r="B78" s="192"/>
      <c r="C78" s="193"/>
      <c r="D78" s="145"/>
      <c r="E78" s="149"/>
      <c r="F78" s="153"/>
      <c r="G78" s="153"/>
      <c r="H78" s="153"/>
      <c r="I78" s="153"/>
      <c r="J78" s="153"/>
      <c r="K78" s="153"/>
      <c r="L78" s="153"/>
      <c r="M78" s="155"/>
      <c r="N78" s="165"/>
      <c r="O78" s="155"/>
      <c r="P78" s="16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row>
    <row r="79" spans="1:68" s="39" customFormat="1" ht="15.75" thickBot="1" x14ac:dyDescent="0.3">
      <c r="A79" s="125" t="s">
        <v>158</v>
      </c>
      <c r="B79" s="40">
        <v>0.02</v>
      </c>
      <c r="C79" s="40">
        <v>0.02</v>
      </c>
      <c r="D79" s="145"/>
      <c r="E79" s="149"/>
      <c r="F79" s="153"/>
      <c r="G79" s="153"/>
      <c r="H79" s="153"/>
      <c r="I79" s="153"/>
      <c r="J79" s="153"/>
      <c r="K79" s="153"/>
      <c r="L79" s="153"/>
      <c r="M79" s="155"/>
      <c r="N79" s="165"/>
      <c r="O79" s="155"/>
      <c r="P79" s="16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row>
    <row r="80" spans="1:68" ht="15.75" thickBot="1" x14ac:dyDescent="0.3">
      <c r="A80" s="176"/>
      <c r="B80" s="251"/>
      <c r="C80" s="194"/>
      <c r="D80" s="145"/>
      <c r="E80" s="149"/>
      <c r="F80" s="153"/>
      <c r="G80" s="153"/>
      <c r="H80" s="153"/>
      <c r="I80" s="153"/>
      <c r="J80" s="153"/>
      <c r="K80" s="153"/>
      <c r="L80" s="153"/>
      <c r="M80" s="155"/>
      <c r="N80" s="165"/>
      <c r="O80" s="155"/>
      <c r="P80" s="16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row>
    <row r="81" spans="1:68" ht="15.75" thickBot="1" x14ac:dyDescent="0.3">
      <c r="A81" s="125" t="s">
        <v>170</v>
      </c>
      <c r="B81" s="40">
        <v>0.04</v>
      </c>
      <c r="C81" s="40">
        <v>0.04</v>
      </c>
      <c r="D81" s="145"/>
      <c r="E81" s="149"/>
      <c r="F81" s="153"/>
      <c r="G81" s="153"/>
      <c r="H81" s="153"/>
      <c r="I81" s="153"/>
      <c r="J81" s="153"/>
      <c r="K81" s="153"/>
      <c r="L81" s="153"/>
      <c r="M81" s="155"/>
      <c r="N81" s="165"/>
      <c r="O81" s="155"/>
      <c r="P81" s="16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row>
    <row r="82" spans="1:68" ht="15.75" thickBot="1" x14ac:dyDescent="0.3">
      <c r="A82" s="174"/>
      <c r="B82" s="146"/>
      <c r="C82" s="175"/>
      <c r="D82" s="145"/>
      <c r="E82" s="149"/>
      <c r="F82" s="153"/>
      <c r="G82" s="153"/>
      <c r="H82" s="153"/>
      <c r="I82" s="153"/>
      <c r="J82" s="153"/>
      <c r="K82" s="153"/>
      <c r="L82" s="153"/>
      <c r="M82" s="155"/>
      <c r="N82" s="165"/>
      <c r="O82" s="155"/>
      <c r="P82" s="16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row>
    <row r="83" spans="1:68" ht="19.5" thickBot="1" x14ac:dyDescent="0.35">
      <c r="A83" s="244" t="s">
        <v>242</v>
      </c>
      <c r="B83" s="242" t="str">
        <f>B19</f>
        <v xml:space="preserve">Ventilation system with heat recovery </v>
      </c>
      <c r="C83" s="242" t="str">
        <f>C19</f>
        <v>Geothermal heat pump system</v>
      </c>
      <c r="D83" s="161"/>
      <c r="E83" s="149"/>
      <c r="F83" s="153"/>
      <c r="G83" s="153"/>
      <c r="H83" s="153"/>
      <c r="I83" s="153"/>
      <c r="J83" s="153"/>
      <c r="K83" s="153"/>
      <c r="L83" s="153"/>
      <c r="M83" s="155"/>
      <c r="N83" s="165"/>
      <c r="O83" s="155"/>
      <c r="P83" s="16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row>
    <row r="84" spans="1:68" ht="15.75" thickBot="1" x14ac:dyDescent="0.3">
      <c r="A84" s="174"/>
      <c r="B84" s="177"/>
      <c r="C84" s="189"/>
      <c r="D84" s="145"/>
      <c r="E84" s="149"/>
      <c r="F84" s="153"/>
      <c r="G84" s="153"/>
      <c r="H84" s="153"/>
      <c r="I84" s="153"/>
      <c r="J84" s="153"/>
      <c r="K84" s="153"/>
      <c r="L84" s="153"/>
      <c r="M84" s="155"/>
      <c r="N84" s="165"/>
      <c r="O84" s="155"/>
      <c r="P84" s="16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row>
    <row r="85" spans="1:68" ht="15.75" thickBot="1" x14ac:dyDescent="0.3">
      <c r="A85" s="125" t="s">
        <v>272</v>
      </c>
      <c r="B85" s="209">
        <v>-82</v>
      </c>
      <c r="C85" s="44">
        <v>0</v>
      </c>
      <c r="D85" s="145"/>
      <c r="E85" s="149"/>
      <c r="F85" s="153"/>
      <c r="G85" s="153"/>
      <c r="H85" s="153"/>
      <c r="I85" s="153"/>
      <c r="J85" s="153"/>
      <c r="K85" s="153"/>
      <c r="L85" s="153"/>
      <c r="M85" s="155"/>
      <c r="N85" s="165"/>
      <c r="O85" s="155"/>
      <c r="P85" s="16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row>
    <row r="86" spans="1:68" ht="15.75" thickBot="1" x14ac:dyDescent="0.3">
      <c r="A86" s="174"/>
      <c r="B86" s="146"/>
      <c r="C86" s="175"/>
      <c r="D86" s="169"/>
      <c r="E86" s="149"/>
      <c r="F86" s="153"/>
      <c r="G86" s="153"/>
      <c r="H86" s="153"/>
      <c r="I86" s="153"/>
      <c r="J86" s="153"/>
      <c r="K86" s="153"/>
      <c r="L86" s="153"/>
      <c r="M86" s="155"/>
      <c r="N86" s="165"/>
      <c r="O86" s="155"/>
      <c r="P86" s="16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row>
    <row r="87" spans="1:68" ht="15.75" thickBot="1" x14ac:dyDescent="0.3">
      <c r="A87" s="127" t="s">
        <v>197</v>
      </c>
      <c r="B87" s="45">
        <v>100</v>
      </c>
      <c r="C87" s="45">
        <v>100</v>
      </c>
      <c r="D87" s="145"/>
      <c r="E87" s="149"/>
      <c r="F87" s="153"/>
      <c r="G87" s="153"/>
      <c r="H87" s="153"/>
      <c r="I87" s="153"/>
      <c r="J87" s="153"/>
      <c r="K87" s="153"/>
      <c r="L87" s="153"/>
      <c r="M87" s="162"/>
      <c r="N87" s="165"/>
      <c r="O87" s="155"/>
      <c r="P87" s="16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row>
    <row r="88" spans="1:68" s="39" customFormat="1" ht="15.75" thickBot="1" x14ac:dyDescent="0.3">
      <c r="A88" s="195"/>
      <c r="B88" s="254"/>
      <c r="C88" s="255"/>
      <c r="D88" s="145"/>
      <c r="E88" s="149"/>
      <c r="F88" s="153"/>
      <c r="G88" s="153"/>
      <c r="H88" s="153"/>
      <c r="I88" s="153"/>
      <c r="J88" s="153"/>
      <c r="K88" s="153"/>
      <c r="L88" s="153"/>
      <c r="M88" s="162"/>
      <c r="N88" s="165"/>
      <c r="O88" s="155"/>
      <c r="P88" s="16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row>
    <row r="89" spans="1:68" ht="21.75" thickBot="1" x14ac:dyDescent="0.4">
      <c r="A89" s="234" t="s">
        <v>171</v>
      </c>
      <c r="B89" s="235"/>
      <c r="C89" s="236"/>
      <c r="D89" s="168"/>
      <c r="E89" s="149"/>
      <c r="F89" s="170"/>
      <c r="G89" s="170"/>
      <c r="H89" s="170"/>
      <c r="I89" s="170"/>
      <c r="J89" s="170"/>
      <c r="K89" s="170"/>
      <c r="L89" s="170"/>
      <c r="M89" s="155"/>
      <c r="N89" s="165"/>
      <c r="O89" s="155"/>
      <c r="P89" s="16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row>
    <row r="90" spans="1:68" ht="15.75" thickBot="1" x14ac:dyDescent="0.3">
      <c r="A90" s="174"/>
      <c r="B90" s="177"/>
      <c r="C90" s="189"/>
      <c r="D90" s="168"/>
      <c r="E90" s="149"/>
      <c r="F90" s="170"/>
      <c r="G90" s="170"/>
      <c r="H90" s="170"/>
      <c r="I90" s="170"/>
      <c r="J90" s="170"/>
      <c r="K90" s="170"/>
      <c r="L90" s="170"/>
      <c r="M90" s="155"/>
      <c r="N90" s="165"/>
      <c r="O90" s="155"/>
      <c r="P90" s="16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row>
    <row r="91" spans="1:68" ht="19.5" thickBot="1" x14ac:dyDescent="0.35">
      <c r="A91" s="233" t="s">
        <v>236</v>
      </c>
      <c r="B91" s="237" t="str">
        <f>B19</f>
        <v xml:space="preserve">Ventilation system with heat recovery </v>
      </c>
      <c r="C91" s="238" t="str">
        <f>C19</f>
        <v>Geothermal heat pump system</v>
      </c>
      <c r="D91" s="168"/>
      <c r="E91" s="149"/>
      <c r="F91" s="170"/>
      <c r="G91" s="170"/>
      <c r="H91" s="170"/>
      <c r="I91" s="170"/>
      <c r="J91" s="170"/>
      <c r="K91" s="170"/>
      <c r="L91" s="170"/>
      <c r="M91" s="155"/>
      <c r="N91" s="165"/>
      <c r="O91" s="155"/>
      <c r="P91" s="16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row>
    <row r="92" spans="1:68" s="39" customFormat="1" ht="15.75" thickBot="1" x14ac:dyDescent="0.3">
      <c r="A92" s="196"/>
      <c r="B92" s="197"/>
      <c r="C92" s="198"/>
      <c r="D92" s="168"/>
      <c r="E92" s="149"/>
      <c r="F92" s="170"/>
      <c r="G92" s="170"/>
      <c r="H92" s="170"/>
      <c r="I92" s="170"/>
      <c r="J92" s="170"/>
      <c r="K92" s="170"/>
      <c r="L92" s="170"/>
      <c r="M92" s="155"/>
      <c r="N92" s="165"/>
      <c r="O92" s="155"/>
      <c r="P92" s="16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row>
    <row r="93" spans="1:68" ht="15.75" thickBot="1" x14ac:dyDescent="0.3">
      <c r="A93" s="128" t="s">
        <v>243</v>
      </c>
      <c r="B93" s="135">
        <f>-B40*B38</f>
        <v>11700</v>
      </c>
      <c r="C93" s="135">
        <f>-C40*C38</f>
        <v>45000</v>
      </c>
      <c r="D93" s="168"/>
      <c r="E93" s="149"/>
      <c r="F93" s="170"/>
      <c r="G93" s="170"/>
      <c r="H93" s="170"/>
      <c r="I93" s="170"/>
      <c r="J93" s="170"/>
      <c r="K93" s="170"/>
      <c r="L93" s="170"/>
      <c r="M93" s="155"/>
      <c r="N93" s="165"/>
      <c r="O93" s="155"/>
      <c r="P93" s="16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row>
    <row r="94" spans="1:68" s="11" customFormat="1" ht="15.75" thickBot="1" x14ac:dyDescent="0.3">
      <c r="A94" s="176"/>
      <c r="B94" s="184"/>
      <c r="C94" s="191"/>
      <c r="D94" s="168"/>
      <c r="E94" s="149"/>
      <c r="F94" s="170"/>
      <c r="G94" s="170"/>
      <c r="H94" s="170"/>
      <c r="I94" s="170"/>
      <c r="J94" s="170"/>
      <c r="K94" s="170"/>
      <c r="L94" s="170"/>
      <c r="M94" s="155"/>
      <c r="N94" s="165"/>
      <c r="O94" s="155"/>
      <c r="P94" s="16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row>
    <row r="95" spans="1:68" ht="15.75" thickBot="1" x14ac:dyDescent="0.3">
      <c r="A95" s="128" t="s">
        <v>244</v>
      </c>
      <c r="B95" s="136">
        <f>-B28*B26</f>
        <v>-240</v>
      </c>
      <c r="C95" s="135">
        <f>-C28*C26</f>
        <v>-20400</v>
      </c>
      <c r="D95" s="168"/>
      <c r="E95" s="149"/>
      <c r="F95" s="170"/>
      <c r="G95" s="170"/>
      <c r="H95" s="170"/>
      <c r="I95" s="170"/>
      <c r="J95" s="170"/>
      <c r="K95" s="170"/>
      <c r="L95" s="170"/>
      <c r="M95" s="155"/>
      <c r="N95" s="165"/>
      <c r="O95" s="155"/>
      <c r="P95" s="16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row>
    <row r="96" spans="1:68" ht="15.75" thickBot="1" x14ac:dyDescent="0.3">
      <c r="A96" s="176"/>
      <c r="B96" s="146"/>
      <c r="C96" s="175"/>
      <c r="D96" s="168"/>
      <c r="E96" s="149"/>
      <c r="F96" s="170"/>
      <c r="G96" s="170"/>
      <c r="H96" s="170"/>
      <c r="I96" s="170"/>
      <c r="J96" s="170"/>
      <c r="K96" s="170"/>
      <c r="L96" s="170"/>
      <c r="M96" s="155"/>
      <c r="N96" s="165"/>
      <c r="O96" s="155"/>
      <c r="P96" s="16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row>
    <row r="97" spans="1:68" ht="15.75" thickBot="1" x14ac:dyDescent="0.3">
      <c r="A97" s="128" t="s">
        <v>245</v>
      </c>
      <c r="B97" s="137">
        <f>-B50*B52</f>
        <v>0</v>
      </c>
      <c r="C97" s="136">
        <f>-C50*C52</f>
        <v>0</v>
      </c>
      <c r="D97" s="149"/>
      <c r="E97" s="149"/>
      <c r="F97" s="170"/>
      <c r="G97" s="170"/>
      <c r="H97" s="170"/>
      <c r="I97" s="170"/>
      <c r="J97" s="170"/>
      <c r="K97" s="170"/>
      <c r="L97" s="170"/>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row>
    <row r="98" spans="1:68" s="39" customFormat="1" ht="15.75" thickBot="1" x14ac:dyDescent="0.3">
      <c r="A98" s="176"/>
      <c r="B98" s="181"/>
      <c r="C98" s="199"/>
      <c r="D98" s="149"/>
      <c r="E98" s="149"/>
      <c r="F98" s="170"/>
      <c r="G98" s="170"/>
      <c r="H98" s="170"/>
      <c r="I98" s="170"/>
      <c r="J98" s="170"/>
      <c r="K98" s="170"/>
      <c r="L98" s="170"/>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row>
    <row r="99" spans="1:68" ht="15.75" thickBot="1" x14ac:dyDescent="0.3">
      <c r="A99" s="128" t="s">
        <v>246</v>
      </c>
      <c r="B99" s="135">
        <f>B93+B95+B97</f>
        <v>11460</v>
      </c>
      <c r="C99" s="135">
        <f>C93+C95+C97</f>
        <v>24600</v>
      </c>
      <c r="D99" s="149"/>
      <c r="E99" s="149"/>
      <c r="F99" s="170"/>
      <c r="G99" s="170"/>
      <c r="H99" s="170"/>
      <c r="I99" s="170"/>
      <c r="J99" s="170"/>
      <c r="K99" s="170"/>
      <c r="L99" s="170"/>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row>
    <row r="100" spans="1:68" s="39" customFormat="1" ht="15.75" thickBot="1" x14ac:dyDescent="0.3">
      <c r="A100" s="146"/>
      <c r="B100" s="182"/>
      <c r="C100" s="200"/>
      <c r="D100" s="149"/>
      <c r="E100" s="149"/>
      <c r="F100" s="170"/>
      <c r="G100" s="170"/>
      <c r="H100" s="170"/>
      <c r="I100" s="170"/>
      <c r="J100" s="170"/>
      <c r="K100" s="170"/>
      <c r="L100" s="170"/>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row>
    <row r="101" spans="1:68" ht="15.75" thickBot="1" x14ac:dyDescent="0.3">
      <c r="A101" s="129" t="s">
        <v>247</v>
      </c>
      <c r="B101" s="130">
        <f>-B62*B64</f>
        <v>0</v>
      </c>
      <c r="C101" s="130">
        <f>-C62*C64</f>
        <v>0</v>
      </c>
      <c r="D101" s="161"/>
      <c r="E101" s="149"/>
      <c r="F101" s="153"/>
      <c r="G101" s="153"/>
      <c r="H101" s="153"/>
      <c r="I101" s="153"/>
      <c r="J101" s="170"/>
      <c r="K101" s="170"/>
      <c r="L101" s="170"/>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row>
    <row r="102" spans="1:68" s="39" customFormat="1" ht="15.75" thickBot="1" x14ac:dyDescent="0.3">
      <c r="A102" s="146"/>
      <c r="B102" s="146"/>
      <c r="C102" s="175"/>
      <c r="D102" s="161"/>
      <c r="E102" s="149"/>
      <c r="F102" s="153"/>
      <c r="G102" s="153"/>
      <c r="H102" s="153"/>
      <c r="I102" s="153"/>
      <c r="J102" s="170"/>
      <c r="K102" s="170"/>
      <c r="L102" s="170"/>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row>
    <row r="103" spans="1:68" ht="15.75" thickBot="1" x14ac:dyDescent="0.3">
      <c r="A103" s="128" t="s">
        <v>248</v>
      </c>
      <c r="B103" s="135">
        <f>B21*(B99+B101)</f>
        <v>229200</v>
      </c>
      <c r="C103" s="135">
        <f>C21*(C99+C101)</f>
        <v>492000</v>
      </c>
      <c r="D103" s="145"/>
      <c r="E103" s="149"/>
      <c r="F103" s="153"/>
      <c r="G103" s="153"/>
      <c r="H103" s="153"/>
      <c r="I103" s="153"/>
      <c r="J103" s="170"/>
      <c r="K103" s="170"/>
      <c r="L103" s="170"/>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row>
    <row r="104" spans="1:68" s="39" customFormat="1" x14ac:dyDescent="0.25">
      <c r="A104" s="176"/>
      <c r="B104" s="182"/>
      <c r="C104" s="200"/>
      <c r="D104" s="145"/>
      <c r="E104" s="149"/>
      <c r="F104" s="153"/>
      <c r="G104" s="153"/>
      <c r="H104" s="153"/>
      <c r="I104" s="153"/>
      <c r="J104" s="170"/>
      <c r="K104" s="170"/>
      <c r="L104" s="170"/>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row>
    <row r="105" spans="1:68" s="11" customFormat="1" ht="15.75" thickBot="1" x14ac:dyDescent="0.3">
      <c r="A105" s="174"/>
      <c r="B105" s="177"/>
      <c r="C105" s="189"/>
      <c r="D105" s="171"/>
      <c r="E105" s="149"/>
      <c r="F105" s="153"/>
      <c r="G105" s="153"/>
      <c r="H105" s="153"/>
      <c r="I105" s="153"/>
      <c r="J105" s="170"/>
      <c r="K105" s="170"/>
      <c r="L105" s="170"/>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row>
    <row r="106" spans="1:68" ht="19.5" thickBot="1" x14ac:dyDescent="0.35">
      <c r="A106" s="233" t="s">
        <v>237</v>
      </c>
      <c r="B106" s="208" t="str">
        <f>B19</f>
        <v xml:space="preserve">Ventilation system with heat recovery </v>
      </c>
      <c r="C106" s="208" t="str">
        <f>C19</f>
        <v>Geothermal heat pump system</v>
      </c>
      <c r="D106" s="145"/>
      <c r="E106" s="149"/>
      <c r="F106" s="153"/>
      <c r="G106" s="153"/>
      <c r="H106" s="153"/>
      <c r="I106" s="153"/>
      <c r="J106" s="170"/>
      <c r="K106" s="170"/>
      <c r="L106" s="170"/>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row>
    <row r="107" spans="1:68" s="39" customFormat="1" ht="15.75" thickBot="1" x14ac:dyDescent="0.3">
      <c r="A107" s="174"/>
      <c r="B107" s="177"/>
      <c r="C107" s="189"/>
      <c r="D107" s="145"/>
      <c r="E107" s="149"/>
      <c r="F107" s="153"/>
      <c r="G107" s="153"/>
      <c r="H107" s="153"/>
      <c r="I107" s="153"/>
      <c r="J107" s="170"/>
      <c r="K107" s="170"/>
      <c r="L107" s="170"/>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row>
    <row r="108" spans="1:68" s="39" customFormat="1" ht="15.75" thickBot="1" x14ac:dyDescent="0.3">
      <c r="A108" s="129" t="s">
        <v>206</v>
      </c>
      <c r="B108" s="130">
        <f>(1-B77)*B73</f>
        <v>156400</v>
      </c>
      <c r="C108" s="130">
        <f>(1-C77)*C73</f>
        <v>212500</v>
      </c>
      <c r="D108" s="145"/>
      <c r="E108" s="149"/>
      <c r="F108" s="153"/>
      <c r="G108" s="153"/>
      <c r="H108" s="153"/>
      <c r="I108" s="153"/>
      <c r="J108" s="170"/>
      <c r="K108" s="170"/>
      <c r="L108" s="170"/>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row>
    <row r="109" spans="1:68" s="39" customFormat="1" ht="15.75" thickBot="1" x14ac:dyDescent="0.3">
      <c r="A109" s="174"/>
      <c r="B109" s="177"/>
      <c r="C109" s="189"/>
      <c r="D109" s="145"/>
      <c r="E109" s="149"/>
      <c r="F109" s="153"/>
      <c r="G109" s="153"/>
      <c r="H109" s="153"/>
      <c r="I109" s="153"/>
      <c r="J109" s="170"/>
      <c r="K109" s="170"/>
      <c r="L109" s="170"/>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row>
    <row r="110" spans="1:68" ht="15.75" thickBot="1" x14ac:dyDescent="0.3">
      <c r="A110" s="128" t="s">
        <v>69</v>
      </c>
      <c r="B110" s="135">
        <f>B75*B73</f>
        <v>1840</v>
      </c>
      <c r="C110" s="135">
        <f>C75*C73</f>
        <v>2500</v>
      </c>
      <c r="D110" s="171"/>
      <c r="E110" s="149"/>
      <c r="F110" s="153"/>
      <c r="G110" s="153"/>
      <c r="H110" s="153"/>
      <c r="I110" s="153"/>
      <c r="J110" s="153"/>
      <c r="K110" s="153"/>
      <c r="L110" s="153"/>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row>
    <row r="111" spans="1:68" ht="15.75" thickBot="1" x14ac:dyDescent="0.3">
      <c r="A111" s="174"/>
      <c r="B111" s="184"/>
      <c r="C111" s="191"/>
      <c r="D111" s="145"/>
      <c r="E111" s="149"/>
      <c r="F111" s="153"/>
      <c r="G111" s="153"/>
      <c r="H111" s="153"/>
      <c r="I111" s="153"/>
      <c r="J111" s="170"/>
      <c r="K111" s="170"/>
      <c r="L111" s="170"/>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row>
    <row r="112" spans="1:68" ht="15.75" thickBot="1" x14ac:dyDescent="0.3">
      <c r="A112" s="128" t="s">
        <v>249</v>
      </c>
      <c r="B112" s="135">
        <f>B108+(B21*B110)</f>
        <v>193200</v>
      </c>
      <c r="C112" s="135">
        <f>C108+(C21*C110)</f>
        <v>262500</v>
      </c>
      <c r="D112" s="149"/>
      <c r="E112" s="149"/>
      <c r="F112" s="170"/>
      <c r="G112" s="170"/>
      <c r="H112" s="170"/>
      <c r="I112" s="170"/>
      <c r="J112" s="170"/>
      <c r="K112" s="170"/>
      <c r="L112" s="170"/>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row>
    <row r="113" spans="1:68" s="39" customFormat="1" ht="15.75" thickBot="1" x14ac:dyDescent="0.3">
      <c r="A113" s="176"/>
      <c r="B113" s="182"/>
      <c r="C113" s="200"/>
      <c r="D113" s="149"/>
      <c r="E113" s="149"/>
      <c r="F113" s="170"/>
      <c r="G113" s="170"/>
      <c r="H113" s="170"/>
      <c r="I113" s="170"/>
      <c r="J113" s="170"/>
      <c r="K113" s="170"/>
      <c r="L113" s="170"/>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row>
    <row r="114" spans="1:68" s="39" customFormat="1" ht="19.5" thickBot="1" x14ac:dyDescent="0.35">
      <c r="A114" s="233" t="s">
        <v>240</v>
      </c>
      <c r="B114" s="208" t="str">
        <f>B19</f>
        <v xml:space="preserve">Ventilation system with heat recovery </v>
      </c>
      <c r="C114" s="208" t="str">
        <f>C19</f>
        <v>Geothermal heat pump system</v>
      </c>
      <c r="D114" s="149"/>
      <c r="E114" s="149"/>
      <c r="F114" s="170"/>
      <c r="G114" s="170"/>
      <c r="H114" s="170"/>
      <c r="I114" s="170"/>
      <c r="J114" s="170"/>
      <c r="K114" s="170"/>
      <c r="L114" s="170"/>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row>
    <row r="115" spans="1:68" ht="19.5" thickBot="1" x14ac:dyDescent="0.35">
      <c r="A115" s="202"/>
      <c r="B115" s="177"/>
      <c r="C115" s="189"/>
      <c r="D115" s="145"/>
      <c r="E115" s="149"/>
      <c r="F115" s="153"/>
      <c r="G115" s="153"/>
      <c r="H115" s="153"/>
      <c r="I115" s="153"/>
      <c r="J115" s="170"/>
      <c r="K115" s="170"/>
      <c r="L115" s="170"/>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row>
    <row r="116" spans="1:68" s="39" customFormat="1" ht="15.75" thickBot="1" x14ac:dyDescent="0.3">
      <c r="A116" s="128" t="s">
        <v>17</v>
      </c>
      <c r="B116" s="135">
        <f>B103-B112</f>
        <v>36000</v>
      </c>
      <c r="C116" s="135">
        <f>C103-C112</f>
        <v>229500</v>
      </c>
      <c r="D116" s="145"/>
      <c r="E116" s="149"/>
      <c r="F116" s="153"/>
      <c r="G116" s="153"/>
      <c r="H116" s="153"/>
      <c r="I116" s="153"/>
      <c r="J116" s="170"/>
      <c r="K116" s="170"/>
      <c r="L116" s="170"/>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row>
    <row r="117" spans="1:68" x14ac:dyDescent="0.25">
      <c r="A117" s="176"/>
      <c r="B117" s="182"/>
      <c r="C117" s="200"/>
      <c r="D117" s="145"/>
      <c r="E117" s="149"/>
      <c r="F117" s="153"/>
      <c r="G117" s="153"/>
      <c r="H117" s="153"/>
      <c r="I117" s="153"/>
      <c r="J117" s="170"/>
      <c r="K117" s="170"/>
      <c r="L117" s="170"/>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row>
    <row r="118" spans="1:68" s="39" customFormat="1" ht="15.75" thickBot="1" x14ac:dyDescent="0.3">
      <c r="A118" s="174"/>
      <c r="B118" s="146"/>
      <c r="C118" s="175"/>
      <c r="D118" s="145"/>
      <c r="E118" s="149"/>
      <c r="F118" s="153"/>
      <c r="G118" s="153"/>
      <c r="H118" s="153"/>
      <c r="I118" s="153"/>
      <c r="J118" s="170"/>
      <c r="K118" s="170"/>
      <c r="L118" s="170"/>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row>
    <row r="119" spans="1:68" ht="19.5" thickBot="1" x14ac:dyDescent="0.35">
      <c r="A119" s="233" t="s">
        <v>238</v>
      </c>
      <c r="B119" s="239" t="str">
        <f>B19</f>
        <v xml:space="preserve">Ventilation system with heat recovery </v>
      </c>
      <c r="C119" s="239" t="str">
        <f>C19</f>
        <v>Geothermal heat pump system</v>
      </c>
      <c r="D119" s="149"/>
      <c r="E119" s="149"/>
      <c r="F119" s="170"/>
      <c r="G119" s="170"/>
      <c r="H119" s="170"/>
      <c r="I119" s="170"/>
      <c r="J119" s="170"/>
      <c r="K119" s="170"/>
      <c r="L119" s="170"/>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row>
    <row r="120" spans="1:68" s="39" customFormat="1" ht="15.75" thickBot="1" x14ac:dyDescent="0.3">
      <c r="A120" s="114"/>
      <c r="B120" s="184"/>
      <c r="C120" s="191"/>
      <c r="D120" s="149"/>
      <c r="E120" s="149"/>
      <c r="F120" s="170"/>
      <c r="G120" s="170"/>
      <c r="H120" s="170"/>
      <c r="I120" s="170"/>
      <c r="J120" s="170"/>
      <c r="K120" s="170"/>
      <c r="L120" s="170"/>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row>
    <row r="121" spans="1:68" s="39" customFormat="1" ht="15.75" thickBot="1" x14ac:dyDescent="0.3">
      <c r="A121" s="128" t="s">
        <v>207</v>
      </c>
      <c r="B121" s="135">
        <f>-((B40*B42)+(B28*B30)+(B52*B54))</f>
        <v>20400</v>
      </c>
      <c r="C121" s="135">
        <f>-((C40*C42)+(C28*C30)+(C52*C54))</f>
        <v>46000</v>
      </c>
      <c r="D121" s="149"/>
      <c r="E121" s="149"/>
      <c r="F121" s="170"/>
      <c r="G121" s="170"/>
      <c r="H121" s="170"/>
      <c r="I121" s="170"/>
      <c r="J121" s="170"/>
      <c r="K121" s="170"/>
      <c r="L121" s="170"/>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row>
    <row r="122" spans="1:68" s="39" customFormat="1" ht="15.75" thickBot="1" x14ac:dyDescent="0.3">
      <c r="A122" s="219"/>
      <c r="B122" s="217"/>
      <c r="C122" s="218"/>
      <c r="D122" s="149"/>
      <c r="E122" s="149"/>
      <c r="F122" s="170"/>
      <c r="G122" s="170"/>
      <c r="H122" s="170"/>
      <c r="I122" s="170"/>
      <c r="J122" s="170"/>
      <c r="K122" s="170"/>
      <c r="L122" s="170"/>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row>
    <row r="123" spans="1:68" s="39" customFormat="1" ht="15.75" thickBot="1" x14ac:dyDescent="0.3">
      <c r="A123" s="128" t="s">
        <v>273</v>
      </c>
      <c r="B123" s="295">
        <f>-((B28*B30)+(B40*B42)+(B52*B54))/((B13*B30)+(B14*B42)+(B15*B54))</f>
        <v>0.15692307692307692</v>
      </c>
      <c r="C123" s="295">
        <f>-((C28*C30)+(C40*C42)+(C52*C54))/((B13*C30)+(B14*C42)+(B15*C54))</f>
        <v>0.35384615384615387</v>
      </c>
      <c r="D123" s="149"/>
      <c r="E123" s="149"/>
      <c r="F123" s="170"/>
      <c r="G123" s="170"/>
      <c r="H123" s="170"/>
      <c r="I123" s="170"/>
      <c r="J123" s="170"/>
      <c r="K123" s="170"/>
      <c r="L123" s="170"/>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row>
    <row r="124" spans="1:68" s="39" customFormat="1" ht="15.75" thickBot="1" x14ac:dyDescent="0.3">
      <c r="A124" s="174"/>
      <c r="B124" s="184"/>
      <c r="C124" s="175"/>
      <c r="D124" s="149"/>
      <c r="E124" s="149"/>
      <c r="F124" s="170"/>
      <c r="G124" s="170"/>
      <c r="H124" s="170"/>
      <c r="I124" s="170"/>
      <c r="J124" s="170"/>
      <c r="K124" s="170"/>
      <c r="L124" s="170"/>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row>
    <row r="125" spans="1:68" s="39" customFormat="1" ht="15.75" thickBot="1" x14ac:dyDescent="0.3">
      <c r="A125" s="128" t="s">
        <v>250</v>
      </c>
      <c r="B125" s="135">
        <f>B21*B121</f>
        <v>408000</v>
      </c>
      <c r="C125" s="135">
        <f>C21*C121</f>
        <v>920000</v>
      </c>
      <c r="D125" s="149"/>
      <c r="E125" s="149"/>
      <c r="F125" s="170"/>
      <c r="G125" s="170"/>
      <c r="H125" s="170"/>
      <c r="I125" s="170"/>
      <c r="J125" s="170"/>
      <c r="K125" s="170"/>
      <c r="L125" s="170"/>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row>
    <row r="126" spans="1:68" s="39" customFormat="1" ht="15.75" thickBot="1" x14ac:dyDescent="0.3">
      <c r="A126" s="176"/>
      <c r="B126" s="182"/>
      <c r="C126" s="200"/>
      <c r="D126" s="149"/>
      <c r="E126" s="149"/>
      <c r="F126" s="170"/>
      <c r="G126" s="170"/>
      <c r="H126" s="170"/>
      <c r="I126" s="170"/>
      <c r="J126" s="170"/>
      <c r="K126" s="170"/>
      <c r="L126" s="170"/>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row>
    <row r="127" spans="1:68" s="39" customFormat="1" ht="15.75" thickBot="1" x14ac:dyDescent="0.3">
      <c r="A127" s="300" t="s">
        <v>303</v>
      </c>
      <c r="B127" s="299">
        <f>(1-B123)*B16</f>
        <v>109600</v>
      </c>
      <c r="C127" s="298">
        <f>(1-C123)*B16</f>
        <v>83999.999999999985</v>
      </c>
      <c r="D127" s="149"/>
      <c r="E127" s="149"/>
      <c r="F127" s="170"/>
      <c r="G127" s="170"/>
      <c r="H127" s="170"/>
      <c r="I127" s="170"/>
      <c r="J127" s="170"/>
      <c r="K127" s="170"/>
      <c r="L127" s="170"/>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row>
    <row r="128" spans="1:68" s="39" customFormat="1" ht="15.75" thickBot="1" x14ac:dyDescent="0.3">
      <c r="D128" s="149"/>
      <c r="E128" s="149"/>
      <c r="F128" s="170"/>
      <c r="G128" s="170"/>
      <c r="H128" s="170"/>
      <c r="I128" s="170"/>
      <c r="J128" s="170"/>
      <c r="K128" s="170"/>
      <c r="L128" s="170"/>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row>
    <row r="129" spans="1:68" s="39" customFormat="1" ht="19.5" thickBot="1" x14ac:dyDescent="0.35">
      <c r="A129" s="233" t="s">
        <v>239</v>
      </c>
      <c r="B129" s="240" t="str">
        <f>B19</f>
        <v xml:space="preserve">Ventilation system with heat recovery </v>
      </c>
      <c r="C129" s="239" t="str">
        <f>C19</f>
        <v>Geothermal heat pump system</v>
      </c>
      <c r="D129" s="149"/>
      <c r="E129" s="149"/>
      <c r="F129" s="170"/>
      <c r="G129" s="170"/>
      <c r="H129" s="170"/>
      <c r="I129" s="170"/>
      <c r="J129" s="170"/>
      <c r="K129" s="170"/>
      <c r="L129" s="170"/>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row>
    <row r="130" spans="1:68" s="39" customFormat="1" ht="15.75" thickBot="1" x14ac:dyDescent="0.3">
      <c r="A130" s="176"/>
      <c r="B130" s="183"/>
      <c r="C130" s="191"/>
      <c r="D130" s="149"/>
      <c r="E130" s="149"/>
      <c r="F130" s="170"/>
      <c r="G130" s="170"/>
      <c r="H130" s="170"/>
      <c r="I130" s="170"/>
      <c r="J130" s="170"/>
      <c r="K130" s="170"/>
      <c r="L130" s="170"/>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row>
    <row r="131" spans="1:68" s="39" customFormat="1" ht="15.75" thickBot="1" x14ac:dyDescent="0.3">
      <c r="A131" s="128" t="s">
        <v>252</v>
      </c>
      <c r="B131" s="135">
        <f>-B85*B87</f>
        <v>8200</v>
      </c>
      <c r="C131" s="135">
        <f>C85*C87</f>
        <v>0</v>
      </c>
      <c r="D131" s="149"/>
      <c r="E131" s="149"/>
      <c r="F131" s="170"/>
      <c r="G131" s="170"/>
      <c r="H131" s="170"/>
      <c r="I131" s="170"/>
      <c r="J131" s="170"/>
      <c r="K131" s="170"/>
      <c r="L131" s="170"/>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row>
    <row r="132" spans="1:68" ht="15.75" thickBot="1" x14ac:dyDescent="0.3">
      <c r="A132" s="114"/>
      <c r="B132" s="185"/>
      <c r="C132" s="203"/>
      <c r="D132" s="171"/>
      <c r="E132" s="149"/>
      <c r="F132" s="153"/>
      <c r="G132" s="153"/>
      <c r="H132" s="153"/>
      <c r="I132" s="153"/>
      <c r="J132" s="153"/>
      <c r="K132" s="153"/>
      <c r="L132" s="153"/>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row>
    <row r="133" spans="1:68" ht="15.75" thickBot="1" x14ac:dyDescent="0.3">
      <c r="A133" s="128" t="s">
        <v>137</v>
      </c>
      <c r="B133" s="139">
        <f>(B73-(B73*B77))/(B99+B101+B131)</f>
        <v>7.9552390640895219</v>
      </c>
      <c r="C133" s="139">
        <f>(C73-(C73*C77))/(C99+C101+C131)</f>
        <v>8.6382113821138216</v>
      </c>
      <c r="D133" s="149"/>
      <c r="E133" s="149"/>
      <c r="F133" s="170"/>
      <c r="G133" s="170"/>
      <c r="H133" s="170"/>
      <c r="I133" s="170"/>
      <c r="J133" s="170"/>
      <c r="K133" s="170"/>
      <c r="L133" s="170"/>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row>
    <row r="134" spans="1:68" x14ac:dyDescent="0.25">
      <c r="A134" s="114" t="s">
        <v>100</v>
      </c>
      <c r="B134" s="184"/>
      <c r="C134" s="191"/>
      <c r="D134" s="171"/>
      <c r="E134" s="149"/>
      <c r="F134" s="158"/>
      <c r="G134" s="158"/>
      <c r="H134" s="158"/>
      <c r="I134" s="158"/>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row>
    <row r="135" spans="1:68" s="39" customFormat="1" x14ac:dyDescent="0.25">
      <c r="A135" s="174"/>
      <c r="B135" s="184"/>
      <c r="C135" s="191"/>
      <c r="D135" s="171"/>
      <c r="E135" s="149"/>
      <c r="F135" s="158"/>
      <c r="G135" s="158"/>
      <c r="H135" s="158"/>
      <c r="I135" s="158"/>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row>
    <row r="136" spans="1:68" s="39" customFormat="1" ht="15.75" thickBot="1" x14ac:dyDescent="0.3">
      <c r="A136" s="176"/>
      <c r="B136" s="182"/>
      <c r="C136" s="200"/>
      <c r="D136" s="145"/>
      <c r="E136" s="149"/>
      <c r="F136" s="158"/>
      <c r="G136" s="158"/>
      <c r="H136" s="158"/>
      <c r="I136" s="158"/>
      <c r="J136" s="155"/>
      <c r="K136" s="155"/>
      <c r="L136" s="155"/>
      <c r="M136" s="163"/>
      <c r="N136" s="163"/>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row>
    <row r="137" spans="1:68" s="39" customFormat="1" ht="19.5" thickBot="1" x14ac:dyDescent="0.35">
      <c r="A137" s="233" t="s">
        <v>251</v>
      </c>
      <c r="B137" s="241" t="str">
        <f>B19</f>
        <v xml:space="preserve">Ventilation system with heat recovery </v>
      </c>
      <c r="C137" s="241" t="str">
        <f>C19</f>
        <v>Geothermal heat pump system</v>
      </c>
      <c r="D137" s="145"/>
      <c r="E137" s="149"/>
      <c r="F137" s="158"/>
      <c r="G137" s="158"/>
      <c r="H137" s="158"/>
      <c r="I137" s="158"/>
      <c r="J137" s="155"/>
      <c r="K137" s="155"/>
      <c r="L137" s="155"/>
      <c r="M137" s="163"/>
      <c r="N137" s="163"/>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row>
    <row r="138" spans="1:68" s="39" customFormat="1" ht="19.5" thickBot="1" x14ac:dyDescent="0.35">
      <c r="A138" s="202"/>
      <c r="B138" s="182"/>
      <c r="C138" s="200"/>
      <c r="D138" s="145"/>
      <c r="E138" s="149"/>
      <c r="F138" s="158"/>
      <c r="G138" s="158"/>
      <c r="H138" s="158"/>
      <c r="I138" s="158"/>
      <c r="J138" s="155"/>
      <c r="K138" s="155"/>
      <c r="L138" s="155"/>
      <c r="M138" s="163"/>
      <c r="N138" s="163"/>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row>
    <row r="139" spans="1:68" s="39" customFormat="1" ht="15.75" thickBot="1" x14ac:dyDescent="0.3">
      <c r="A139" s="128" t="s">
        <v>135</v>
      </c>
      <c r="B139" s="138">
        <f>(B73-(B73*B77))/(B99+B101)</f>
        <v>13.647469458987784</v>
      </c>
      <c r="C139" s="139">
        <f>(C73-(C73*C77))/(C99+C101)</f>
        <v>8.6382113821138216</v>
      </c>
      <c r="D139" s="145"/>
      <c r="E139" s="149"/>
      <c r="F139" s="158"/>
      <c r="G139" s="158"/>
      <c r="H139" s="158"/>
      <c r="I139" s="158"/>
      <c r="J139" s="155"/>
      <c r="K139" s="155"/>
      <c r="L139" s="155"/>
      <c r="M139" s="163"/>
      <c r="N139" s="163"/>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row>
    <row r="140" spans="1:68" s="39" customFormat="1" x14ac:dyDescent="0.25">
      <c r="A140" s="176"/>
      <c r="B140" s="183"/>
      <c r="C140" s="191"/>
      <c r="D140" s="145"/>
      <c r="E140" s="149"/>
      <c r="F140" s="158"/>
      <c r="G140" s="158"/>
      <c r="H140" s="158"/>
      <c r="I140" s="158"/>
      <c r="J140" s="155"/>
      <c r="K140" s="155"/>
      <c r="L140" s="155"/>
      <c r="M140" s="163"/>
      <c r="N140" s="163"/>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row>
    <row r="141" spans="1:68" ht="15.75" thickBot="1" x14ac:dyDescent="0.3">
      <c r="A141" s="174"/>
      <c r="B141" s="146"/>
      <c r="C141" s="175"/>
      <c r="D141" s="145"/>
      <c r="E141" s="149"/>
      <c r="F141" s="158"/>
      <c r="G141" s="158"/>
      <c r="H141" s="158"/>
      <c r="I141" s="158"/>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row>
    <row r="142" spans="1:68" ht="15.75" thickBot="1" x14ac:dyDescent="0.3">
      <c r="A142" s="128" t="s">
        <v>79</v>
      </c>
      <c r="B142" s="140">
        <f>IRR('4. Cash flow '!L12:L62,0.1)</f>
        <v>2.0595869001658551E-2</v>
      </c>
      <c r="C142" s="140">
        <f>IRR('4. Cash flow '!M12:M62,0.1)</f>
        <v>8.2821441100461524E-2</v>
      </c>
      <c r="D142" s="145"/>
      <c r="E142" s="145"/>
      <c r="F142" s="158"/>
      <c r="G142" s="158"/>
      <c r="H142" s="158"/>
      <c r="I142" s="158"/>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row>
    <row r="143" spans="1:68" s="39" customFormat="1" ht="15.75" thickBot="1" x14ac:dyDescent="0.3">
      <c r="A143" s="176"/>
      <c r="B143" s="185"/>
      <c r="C143" s="203"/>
      <c r="D143" s="145"/>
      <c r="E143" s="145"/>
      <c r="F143" s="158"/>
      <c r="G143" s="158"/>
      <c r="H143" s="158"/>
      <c r="I143" s="158"/>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row>
    <row r="144" spans="1:68" s="39" customFormat="1" ht="15.75" thickBot="1" x14ac:dyDescent="0.3">
      <c r="A144" s="128" t="s">
        <v>210</v>
      </c>
      <c r="B144" s="140">
        <f>IRR('4. Cash flow '!N12:N62,0.1)</f>
        <v>5.241857488367585E-2</v>
      </c>
      <c r="C144" s="140">
        <f>IRR('4. Cash flow '!O12:O62,0.1)</f>
        <v>0.11393959973099732</v>
      </c>
      <c r="D144" s="145"/>
      <c r="E144" s="145"/>
      <c r="F144" s="158"/>
      <c r="G144" s="158"/>
      <c r="H144" s="158"/>
      <c r="I144" s="158"/>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row>
    <row r="145" spans="1:68" ht="15.75" thickBot="1" x14ac:dyDescent="0.3">
      <c r="A145" s="176"/>
      <c r="B145" s="185"/>
      <c r="C145" s="203"/>
      <c r="D145" s="161"/>
      <c r="E145" s="145"/>
      <c r="F145" s="158"/>
      <c r="G145" s="158"/>
      <c r="H145" s="158"/>
      <c r="I145" s="158"/>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row>
    <row r="146" spans="1:68" ht="15.75" thickBot="1" x14ac:dyDescent="0.3">
      <c r="A146" s="128" t="s">
        <v>211</v>
      </c>
      <c r="B146" s="140">
        <f>IRR('4. Cash flow '!P12:P62,0.1)</f>
        <v>8.2894980203857882E-2</v>
      </c>
      <c r="C146" s="140">
        <f>IRR('4. Cash flow '!Q12:Q62,0.1)</f>
        <v>0.14430086401969744</v>
      </c>
      <c r="D146" s="145"/>
      <c r="E146" s="145"/>
      <c r="F146" s="158"/>
      <c r="G146" s="158"/>
      <c r="H146" s="158"/>
      <c r="I146" s="158"/>
      <c r="J146" s="155"/>
      <c r="K146" s="155"/>
      <c r="L146" s="155"/>
      <c r="M146" s="163"/>
      <c r="N146" s="163"/>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row>
    <row r="147" spans="1:68" s="39" customFormat="1" x14ac:dyDescent="0.25">
      <c r="A147" s="176"/>
      <c r="B147" s="185"/>
      <c r="C147" s="203"/>
      <c r="D147" s="145"/>
      <c r="E147" s="145"/>
      <c r="F147" s="158"/>
      <c r="G147" s="158"/>
      <c r="H147" s="158"/>
      <c r="I147" s="158"/>
      <c r="J147" s="155"/>
      <c r="K147" s="155"/>
      <c r="L147" s="155"/>
      <c r="M147" s="163"/>
      <c r="N147" s="163"/>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row>
    <row r="148" spans="1:68" ht="15.75" thickBot="1" x14ac:dyDescent="0.3">
      <c r="A148" s="174"/>
      <c r="B148" s="146"/>
      <c r="C148" s="175"/>
      <c r="D148" s="161"/>
      <c r="E148" s="145"/>
      <c r="F148" s="158"/>
      <c r="G148" s="158"/>
      <c r="H148" s="158"/>
      <c r="I148" s="158"/>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row>
    <row r="149" spans="1:68" ht="15.75" thickBot="1" x14ac:dyDescent="0.3">
      <c r="A149" s="128" t="s">
        <v>101</v>
      </c>
      <c r="B149" s="135">
        <f ca="1">OFFSET('5. NPV'!E11,MATCH(B21,'5. NPV'!E12:E62,0),1)</f>
        <v>-51933.006338848747</v>
      </c>
      <c r="C149" s="135">
        <f ca="1">OFFSET('5. NPV'!E11,MATCH(C21,'5. NPV'!E12:E62,0),2)</f>
        <v>65892.201348008428</v>
      </c>
      <c r="D149" s="145"/>
      <c r="E149" s="145"/>
      <c r="F149" s="158"/>
      <c r="G149" s="158"/>
      <c r="H149" s="158"/>
      <c r="I149" s="158"/>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row>
    <row r="150" spans="1:68" s="39" customFormat="1" ht="15.75" thickBot="1" x14ac:dyDescent="0.3">
      <c r="A150" s="174"/>
      <c r="B150" s="186"/>
      <c r="C150" s="204"/>
      <c r="D150" s="145"/>
      <c r="E150" s="145"/>
      <c r="F150" s="158"/>
      <c r="G150" s="158"/>
      <c r="H150" s="158"/>
      <c r="I150" s="158"/>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row>
    <row r="151" spans="1:68" s="39" customFormat="1" ht="15.75" thickBot="1" x14ac:dyDescent="0.3">
      <c r="A151" s="128" t="s">
        <v>208</v>
      </c>
      <c r="B151" s="135">
        <f ca="1">OFFSET('5. NPV'!E11,MATCH(B21,'5. NPV'!E12:E62,0),3)</f>
        <v>-2699.0625091527654</v>
      </c>
      <c r="C151" s="135">
        <f ca="1">OFFSET('5. NPV'!E11,MATCH(C21,'5. NPV'!E12:E62,0),4)</f>
        <v>165448.54485409745</v>
      </c>
      <c r="D151" s="145"/>
      <c r="E151" s="145"/>
      <c r="F151" s="158"/>
      <c r="G151" s="158"/>
      <c r="H151" s="158"/>
      <c r="I151" s="158"/>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row>
    <row r="152" spans="1:68" ht="15.75" thickBot="1" x14ac:dyDescent="0.3">
      <c r="A152" s="115"/>
      <c r="B152" s="186"/>
      <c r="C152" s="204"/>
      <c r="D152" s="161"/>
      <c r="E152" s="145"/>
      <c r="F152" s="158"/>
      <c r="G152" s="158"/>
      <c r="H152" s="158"/>
      <c r="I152" s="158"/>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row>
    <row r="153" spans="1:68" ht="15.75" thickBot="1" x14ac:dyDescent="0.3">
      <c r="A153" s="128" t="s">
        <v>209</v>
      </c>
      <c r="B153" s="135">
        <f ca="1">OFFSET('5. NPV'!E11,MATCH(B21,'5. NPV'!E12:E62,0),5)</f>
        <v>63833.025185184684</v>
      </c>
      <c r="C153" s="135">
        <f ca="1">OFFSET('5. NPV'!E11,MATCH(C21,'5. NPV'!E12:E62,0),6)</f>
        <v>304737.97737528681</v>
      </c>
      <c r="D153" s="145"/>
      <c r="E153" s="145"/>
      <c r="F153" s="158"/>
      <c r="G153" s="158"/>
      <c r="H153" s="158"/>
      <c r="I153" s="158"/>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row>
    <row r="154" spans="1:68" s="39" customFormat="1" x14ac:dyDescent="0.25">
      <c r="A154" s="176"/>
      <c r="B154" s="182"/>
      <c r="C154" s="200"/>
      <c r="D154" s="145"/>
      <c r="E154" s="145"/>
      <c r="F154" s="158"/>
      <c r="G154" s="158"/>
      <c r="H154" s="158"/>
      <c r="I154" s="158"/>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row>
    <row r="155" spans="1:68" ht="17.100000000000001" customHeight="1" thickBot="1" x14ac:dyDescent="0.3">
      <c r="A155" s="174"/>
      <c r="B155" s="205"/>
      <c r="C155" s="206"/>
      <c r="D155" s="171"/>
      <c r="E155" s="149"/>
      <c r="F155" s="155"/>
      <c r="G155" s="158"/>
      <c r="H155" s="158"/>
      <c r="I155" s="158"/>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row>
    <row r="156" spans="1:68" ht="15.95" customHeight="1" thickBot="1" x14ac:dyDescent="0.3">
      <c r="A156" s="128" t="s">
        <v>108</v>
      </c>
      <c r="B156" s="135">
        <f ca="1">OFFSET('4. Cash flow '!E11,MATCH(B21,'4. Cash flow '!E12:E62,0),1)</f>
        <v>1338.5247345738167</v>
      </c>
      <c r="C156" s="135">
        <f ca="1">OFFSET('4. Cash flow '!E11,MATCH(C21,'4. Cash flow '!E12:E62,0),2)</f>
        <v>203611.57024222717</v>
      </c>
      <c r="D156" s="149"/>
      <c r="E156" s="149"/>
      <c r="F156" s="155"/>
      <c r="G156" s="158"/>
      <c r="H156" s="158"/>
      <c r="I156" s="158"/>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row>
    <row r="157" spans="1:68" ht="15.75" thickBot="1" x14ac:dyDescent="0.3">
      <c r="A157" s="174"/>
      <c r="B157" s="186"/>
      <c r="C157" s="204"/>
      <c r="D157" s="161"/>
      <c r="E157" s="149"/>
      <c r="F157" s="155"/>
      <c r="G157" s="155"/>
      <c r="H157" s="155"/>
      <c r="I157" s="158"/>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row>
    <row r="158" spans="1:68" ht="15.75" thickBot="1" x14ac:dyDescent="0.3">
      <c r="A158" s="128" t="s">
        <v>212</v>
      </c>
      <c r="B158" s="135">
        <f ca="1">OFFSET('4. Cash flow '!E11,MATCH(B21,'4. Cash flow '!E12:E62,0),3)</f>
        <v>86342.786967533961</v>
      </c>
      <c r="C158" s="135">
        <f ca="1">OFFSET('4. Cash flow '!E11,MATCH(C21,'4. Cash flow '!E12:E62,0),4)</f>
        <v>374897.18461794639</v>
      </c>
      <c r="D158" s="149"/>
      <c r="E158" s="149"/>
      <c r="F158" s="155"/>
      <c r="G158" s="155"/>
      <c r="H158" s="155"/>
      <c r="I158" s="158"/>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row>
    <row r="159" spans="1:68" ht="15.75" thickBot="1" x14ac:dyDescent="0.3">
      <c r="A159" s="174"/>
      <c r="B159" s="205"/>
      <c r="C159" s="207"/>
      <c r="D159" s="149"/>
      <c r="E159" s="149"/>
      <c r="F159" s="155"/>
      <c r="G159" s="155"/>
      <c r="H159" s="155"/>
      <c r="I159" s="158"/>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row>
    <row r="160" spans="1:68" ht="15.75" thickBot="1" x14ac:dyDescent="0.3">
      <c r="A160" s="129" t="s">
        <v>213</v>
      </c>
      <c r="B160" s="135">
        <f ca="1">OFFSET('4. Cash flow '!E11,MATCH(B21,'4. Cash flow '!E12:E62,0),5)</f>
        <v>203427.3374068306</v>
      </c>
      <c r="C160" s="135">
        <f ca="1">OFFSET('4. Cash flow '!E11,MATCH(C21,'4. Cash flow '!E12:E62,0),6)</f>
        <v>620443.05859006732</v>
      </c>
      <c r="D160" s="149"/>
      <c r="E160" s="149"/>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row>
    <row r="161" spans="1:68" x14ac:dyDescent="0.25">
      <c r="A161" s="149"/>
      <c r="B161" s="149"/>
      <c r="C161" s="149"/>
      <c r="D161" s="149"/>
      <c r="E161" s="149"/>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row>
    <row r="162" spans="1:68" x14ac:dyDescent="0.25">
      <c r="A162" s="149"/>
      <c r="B162" s="149"/>
      <c r="C162" s="149"/>
      <c r="D162" s="149"/>
      <c r="E162" s="149"/>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row>
    <row r="163" spans="1:68" x14ac:dyDescent="0.25">
      <c r="A163" s="149"/>
      <c r="B163" s="149"/>
      <c r="C163" s="149"/>
      <c r="D163" s="149"/>
      <c r="E163" s="149"/>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row>
    <row r="164" spans="1:68" x14ac:dyDescent="0.25">
      <c r="A164" s="149"/>
      <c r="B164" s="149"/>
      <c r="C164" s="149"/>
      <c r="D164" s="149"/>
      <c r="E164" s="149"/>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row>
    <row r="165" spans="1:68" x14ac:dyDescent="0.25">
      <c r="A165" s="149"/>
      <c r="B165" s="149"/>
      <c r="C165" s="149"/>
      <c r="D165" s="149"/>
      <c r="E165" s="149"/>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row>
    <row r="166" spans="1:68" x14ac:dyDescent="0.25">
      <c r="A166" s="149"/>
      <c r="B166" s="149"/>
      <c r="C166" s="149"/>
      <c r="D166" s="149"/>
      <c r="E166" s="149"/>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row>
    <row r="167" spans="1:68" x14ac:dyDescent="0.25">
      <c r="A167" s="149"/>
      <c r="B167" s="149"/>
      <c r="C167" s="149"/>
      <c r="D167" s="149"/>
      <c r="E167" s="149"/>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row>
    <row r="168" spans="1:68" x14ac:dyDescent="0.25">
      <c r="A168" s="149"/>
      <c r="B168" s="149"/>
      <c r="C168" s="149"/>
      <c r="D168" s="149"/>
      <c r="E168" s="149"/>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row>
    <row r="169" spans="1:68" x14ac:dyDescent="0.25">
      <c r="A169" s="149"/>
      <c r="B169" s="149"/>
      <c r="C169" s="149"/>
      <c r="D169" s="149"/>
      <c r="E169" s="149"/>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row>
    <row r="170" spans="1:68" x14ac:dyDescent="0.25">
      <c r="A170" s="149"/>
      <c r="B170" s="149"/>
      <c r="C170" s="149"/>
      <c r="D170" s="149"/>
      <c r="E170" s="149"/>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row>
    <row r="171" spans="1:68" x14ac:dyDescent="0.25">
      <c r="A171" s="149"/>
      <c r="B171" s="149"/>
      <c r="C171" s="149"/>
      <c r="D171" s="149"/>
      <c r="E171" s="149"/>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row>
    <row r="172" spans="1:68" s="25" customFormat="1" x14ac:dyDescent="0.25">
      <c r="A172" s="149"/>
      <c r="B172" s="149"/>
      <c r="C172" s="149"/>
      <c r="D172" s="149"/>
      <c r="E172" s="149"/>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row>
    <row r="173" spans="1:68" x14ac:dyDescent="0.25">
      <c r="A173" s="149"/>
      <c r="B173" s="149"/>
      <c r="C173" s="149"/>
      <c r="D173" s="149"/>
      <c r="E173" s="149"/>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row>
    <row r="174" spans="1:68" x14ac:dyDescent="0.25">
      <c r="A174" s="149"/>
      <c r="B174" s="149"/>
      <c r="C174" s="149"/>
      <c r="D174" s="149"/>
      <c r="E174" s="149"/>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row>
    <row r="175" spans="1:68" x14ac:dyDescent="0.25">
      <c r="A175" s="149"/>
      <c r="B175" s="149"/>
      <c r="C175" s="149"/>
      <c r="D175" s="149"/>
      <c r="E175" s="149"/>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row>
    <row r="176" spans="1:68" x14ac:dyDescent="0.25">
      <c r="A176" s="149"/>
      <c r="B176" s="149"/>
      <c r="C176" s="149"/>
      <c r="D176" s="149"/>
      <c r="E176" s="149"/>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row>
    <row r="177" spans="1:68" x14ac:dyDescent="0.25">
      <c r="A177" s="149"/>
      <c r="B177" s="149"/>
      <c r="C177" s="149"/>
      <c r="D177" s="149"/>
      <c r="E177" s="149"/>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row>
    <row r="178" spans="1:68" x14ac:dyDescent="0.25">
      <c r="A178" s="149"/>
      <c r="B178" s="149"/>
      <c r="C178" s="149"/>
      <c r="D178" s="149"/>
      <c r="E178" s="149"/>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row>
    <row r="179" spans="1:68" x14ac:dyDescent="0.25">
      <c r="A179" s="149"/>
      <c r="B179" s="149"/>
      <c r="C179" s="149"/>
      <c r="D179" s="149"/>
      <c r="E179" s="149"/>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row>
    <row r="180" spans="1:68" x14ac:dyDescent="0.25">
      <c r="A180" s="149"/>
      <c r="B180" s="149"/>
      <c r="C180" s="149"/>
      <c r="D180" s="149"/>
      <c r="E180" s="149"/>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row>
    <row r="181" spans="1:68" x14ac:dyDescent="0.25">
      <c r="A181" s="149"/>
      <c r="B181" s="149"/>
      <c r="C181" s="149"/>
      <c r="D181" s="149"/>
      <c r="E181" s="149"/>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row>
    <row r="182" spans="1:68" x14ac:dyDescent="0.25">
      <c r="A182" s="149"/>
      <c r="B182" s="149"/>
      <c r="C182" s="149"/>
      <c r="D182" s="149"/>
      <c r="E182" s="149"/>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row>
    <row r="183" spans="1:68" x14ac:dyDescent="0.25">
      <c r="A183" s="149"/>
      <c r="B183" s="149"/>
      <c r="C183" s="149"/>
      <c r="D183" s="149"/>
      <c r="E183" s="149"/>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row>
    <row r="184" spans="1:68" x14ac:dyDescent="0.25">
      <c r="A184" s="149"/>
      <c r="B184" s="149"/>
      <c r="C184" s="149"/>
      <c r="D184" s="149"/>
      <c r="E184" s="149"/>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row>
    <row r="185" spans="1:68" x14ac:dyDescent="0.25">
      <c r="A185" s="149"/>
      <c r="B185" s="149"/>
      <c r="C185" s="149"/>
      <c r="D185" s="149"/>
      <c r="E185" s="149"/>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row>
    <row r="186" spans="1:68" x14ac:dyDescent="0.25">
      <c r="A186" s="149"/>
      <c r="B186" s="149"/>
      <c r="C186" s="149"/>
      <c r="D186" s="149"/>
      <c r="E186" s="149"/>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row>
    <row r="187" spans="1:68" x14ac:dyDescent="0.25">
      <c r="A187" s="149"/>
      <c r="B187" s="149"/>
      <c r="C187" s="149"/>
      <c r="D187" s="149"/>
      <c r="E187" s="149"/>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row>
    <row r="188" spans="1:68" x14ac:dyDescent="0.25">
      <c r="A188" s="149"/>
      <c r="B188" s="149"/>
      <c r="C188" s="149"/>
      <c r="D188" s="149"/>
      <c r="E188" s="149"/>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row>
    <row r="189" spans="1:68" x14ac:dyDescent="0.25">
      <c r="A189" s="149"/>
      <c r="B189" s="149"/>
      <c r="C189" s="149"/>
      <c r="D189" s="149"/>
      <c r="E189" s="149"/>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row>
    <row r="190" spans="1:68" x14ac:dyDescent="0.25">
      <c r="A190" s="149"/>
      <c r="B190" s="149"/>
      <c r="C190" s="149"/>
      <c r="D190" s="149"/>
      <c r="E190" s="149"/>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row>
    <row r="191" spans="1:68" x14ac:dyDescent="0.25">
      <c r="A191" s="149"/>
      <c r="B191" s="149"/>
      <c r="C191" s="149"/>
      <c r="D191" s="149"/>
      <c r="E191" s="149"/>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row>
    <row r="192" spans="1:68" x14ac:dyDescent="0.25">
      <c r="A192" s="149"/>
      <c r="B192" s="149"/>
      <c r="C192" s="149"/>
      <c r="D192" s="149"/>
      <c r="E192" s="149"/>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row>
    <row r="193" spans="1:68" x14ac:dyDescent="0.25">
      <c r="A193" s="149"/>
      <c r="B193" s="149"/>
      <c r="C193" s="149"/>
      <c r="D193" s="149"/>
      <c r="E193" s="149"/>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row>
    <row r="194" spans="1:68" x14ac:dyDescent="0.25">
      <c r="A194" s="149"/>
      <c r="B194" s="149"/>
      <c r="C194" s="149"/>
      <c r="D194" s="149"/>
      <c r="E194" s="149"/>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row>
    <row r="195" spans="1:68" x14ac:dyDescent="0.25">
      <c r="A195" s="149"/>
      <c r="B195" s="149"/>
      <c r="C195" s="149"/>
      <c r="D195" s="149"/>
      <c r="E195" s="149"/>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row>
    <row r="196" spans="1:68" x14ac:dyDescent="0.25">
      <c r="A196" s="149"/>
      <c r="B196" s="149"/>
      <c r="C196" s="149"/>
      <c r="D196" s="149"/>
      <c r="E196" s="149"/>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row>
    <row r="197" spans="1:68" x14ac:dyDescent="0.25">
      <c r="A197" s="149"/>
      <c r="B197" s="149"/>
      <c r="C197" s="149"/>
      <c r="D197" s="149"/>
      <c r="E197" s="149"/>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row>
    <row r="198" spans="1:68" x14ac:dyDescent="0.25">
      <c r="A198" s="149"/>
      <c r="B198" s="149"/>
      <c r="C198" s="149"/>
      <c r="D198" s="149"/>
      <c r="E198" s="149"/>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row>
    <row r="199" spans="1:68" x14ac:dyDescent="0.25">
      <c r="A199" s="149"/>
      <c r="B199" s="149"/>
      <c r="C199" s="149"/>
      <c r="D199" s="149"/>
      <c r="E199" s="149"/>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row>
    <row r="200" spans="1:68" x14ac:dyDescent="0.25">
      <c r="A200" s="149"/>
      <c r="B200" s="149"/>
      <c r="C200" s="149"/>
      <c r="D200" s="149"/>
      <c r="E200" s="149"/>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row>
    <row r="201" spans="1:68" x14ac:dyDescent="0.25">
      <c r="A201" s="149"/>
      <c r="B201" s="149"/>
      <c r="C201" s="149"/>
      <c r="D201" s="149"/>
      <c r="E201" s="149"/>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row>
    <row r="202" spans="1:68" x14ac:dyDescent="0.25">
      <c r="A202" s="187"/>
      <c r="B202" s="149"/>
      <c r="C202" s="149"/>
      <c r="D202" s="149"/>
      <c r="E202" s="149"/>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row>
    <row r="203" spans="1:68" x14ac:dyDescent="0.25">
      <c r="A203" s="149"/>
      <c r="B203" s="149"/>
      <c r="C203" s="149"/>
      <c r="D203" s="149"/>
      <c r="E203" s="149"/>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row>
    <row r="204" spans="1:68" x14ac:dyDescent="0.25">
      <c r="A204" s="149"/>
      <c r="B204" s="149"/>
      <c r="C204" s="149"/>
      <c r="D204" s="149"/>
      <c r="E204" s="149"/>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row>
    <row r="205" spans="1:68" x14ac:dyDescent="0.25">
      <c r="A205" s="149"/>
      <c r="B205" s="149"/>
      <c r="C205" s="149"/>
      <c r="D205" s="149"/>
      <c r="E205" s="149"/>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row>
    <row r="206" spans="1:68" x14ac:dyDescent="0.25">
      <c r="A206" s="149"/>
      <c r="B206" s="149"/>
      <c r="C206" s="149"/>
      <c r="D206" s="149"/>
      <c r="E206" s="149"/>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row>
    <row r="207" spans="1:68" x14ac:dyDescent="0.25">
      <c r="A207" s="149"/>
      <c r="B207" s="149"/>
      <c r="C207" s="149"/>
      <c r="D207" s="149"/>
      <c r="E207" s="149"/>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row>
    <row r="208" spans="1:68" x14ac:dyDescent="0.25">
      <c r="A208" s="149"/>
      <c r="B208" s="149"/>
      <c r="C208" s="149"/>
      <c r="D208" s="149"/>
      <c r="E208" s="149"/>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row>
    <row r="209" spans="1:68" x14ac:dyDescent="0.25">
      <c r="A209" s="149"/>
      <c r="B209" s="149"/>
      <c r="C209" s="149"/>
      <c r="D209" s="149"/>
      <c r="E209" s="149"/>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row>
    <row r="210" spans="1:68" x14ac:dyDescent="0.25">
      <c r="A210" s="173"/>
      <c r="B210" s="149"/>
      <c r="C210" s="149"/>
      <c r="D210" s="149"/>
      <c r="E210" s="149"/>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row>
    <row r="211" spans="1:68" x14ac:dyDescent="0.25">
      <c r="A211" s="149"/>
      <c r="B211" s="149"/>
      <c r="C211" s="149"/>
      <c r="D211" s="149"/>
      <c r="E211" s="149"/>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row>
    <row r="212" spans="1:68" x14ac:dyDescent="0.25">
      <c r="A212" s="149"/>
      <c r="B212" s="149"/>
      <c r="C212" s="149"/>
      <c r="D212" s="149"/>
      <c r="E212" s="149"/>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row>
    <row r="213" spans="1:68" x14ac:dyDescent="0.25">
      <c r="A213" s="149"/>
      <c r="B213" s="149"/>
      <c r="C213" s="149"/>
      <c r="D213" s="149"/>
      <c r="E213" s="149"/>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row>
    <row r="214" spans="1:68" x14ac:dyDescent="0.25">
      <c r="A214" s="149"/>
      <c r="B214" s="149"/>
      <c r="C214" s="149"/>
      <c r="D214" s="149"/>
      <c r="E214" s="149"/>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row>
    <row r="215" spans="1:68" x14ac:dyDescent="0.25">
      <c r="A215" s="149"/>
      <c r="B215" s="149"/>
      <c r="C215" s="149"/>
      <c r="D215" s="149"/>
      <c r="E215" s="149"/>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row>
    <row r="216" spans="1:68" x14ac:dyDescent="0.25">
      <c r="A216" s="188"/>
      <c r="B216" s="149"/>
      <c r="C216" s="149"/>
      <c r="D216" s="149"/>
      <c r="E216" s="149"/>
      <c r="F216" s="155"/>
      <c r="G216" s="155"/>
      <c r="H216" s="155"/>
    </row>
    <row r="217" spans="1:68" x14ac:dyDescent="0.25">
      <c r="A217" s="149"/>
      <c r="B217" s="149"/>
      <c r="C217" s="149"/>
      <c r="D217" s="149"/>
      <c r="E217" s="149"/>
      <c r="F217" s="155"/>
      <c r="G217" s="155"/>
      <c r="H217" s="155"/>
    </row>
    <row r="218" spans="1:68" x14ac:dyDescent="0.25">
      <c r="A218" s="188"/>
      <c r="B218" s="149"/>
      <c r="C218" s="149"/>
      <c r="D218" s="149"/>
      <c r="E218" s="149"/>
      <c r="F218" s="155"/>
      <c r="G218" s="155"/>
      <c r="H218" s="155"/>
    </row>
    <row r="219" spans="1:68" x14ac:dyDescent="0.25">
      <c r="A219" s="149"/>
      <c r="B219" s="149"/>
      <c r="C219" s="149"/>
      <c r="D219" s="149"/>
      <c r="E219" s="149"/>
      <c r="F219" s="155"/>
      <c r="G219" s="155"/>
      <c r="H219" s="155"/>
    </row>
    <row r="220" spans="1:68" x14ac:dyDescent="0.25">
      <c r="A220" s="188"/>
      <c r="B220" s="149"/>
      <c r="C220" s="149"/>
      <c r="D220" s="149"/>
      <c r="E220" s="149"/>
      <c r="F220" s="155"/>
      <c r="G220" s="155"/>
      <c r="H220" s="155"/>
    </row>
    <row r="221" spans="1:68" x14ac:dyDescent="0.25">
      <c r="A221" s="149"/>
      <c r="B221" s="149"/>
      <c r="C221" s="149"/>
      <c r="D221" s="149"/>
      <c r="E221" s="149"/>
      <c r="F221" s="155"/>
      <c r="G221" s="155"/>
      <c r="H221" s="155"/>
    </row>
    <row r="222" spans="1:68" x14ac:dyDescent="0.25">
      <c r="D222" s="149"/>
      <c r="E222" s="149"/>
      <c r="F222" s="155"/>
      <c r="G222" s="155"/>
      <c r="H222" s="155"/>
    </row>
  </sheetData>
  <sheetProtection sheet="1" objects="1" scenarios="1"/>
  <conditionalFormatting sqref="E27:L118">
    <cfRule type="containsErrors" dxfId="46" priority="2">
      <formula>ISERROR(E27)</formula>
    </cfRule>
  </conditionalFormatting>
  <conditionalFormatting sqref="B110:C113 B93:C104 B129:C160 B116:C127">
    <cfRule type="cellIs" dxfId="45" priority="1" operator="lessThan">
      <formula>0</formula>
    </cfRule>
  </conditionalFormatting>
  <pageMargins left="0" right="0" top="0" bottom="0" header="0" footer="0"/>
  <pageSetup paperSize="9" scale="66" fitToHeight="0" orientation="portrait" r:id="rId1"/>
  <rowBreaks count="1" manualBreakCount="1">
    <brk id="87" max="2" man="1"/>
  </rowBreaks>
  <drawing r:id="rId2"/>
  <legacyDrawing r:id="rId3"/>
  <extLst>
    <ext xmlns:x14="http://schemas.microsoft.com/office/spreadsheetml/2009/9/main" uri="{CCE6A557-97BC-4b89-ADB6-D9C93CAAB3DF}">
      <x14:dataValidations xmlns:xm="http://schemas.microsoft.com/office/excel/2006/main" disablePrompts="1" xWindow="884" yWindow="299" count="4">
        <x14:dataValidation type="list" allowBlank="1" showInputMessage="1" showErrorMessage="1" promptTitle="Heating system" prompt="choose heating system" xr:uid="{00000000-0002-0000-0200-000000000000}">
          <x14:formula1>
            <xm:f>'Heating system (hidden)'!$A$2:$A$6</xm:f>
          </x14:formula1>
          <xm:sqref>B8</xm:sqref>
        </x14:dataValidation>
        <x14:dataValidation type="list" allowBlank="1" showInputMessage="1" showErrorMessage="1" promptTitle="Type of building" prompt="Choose type of building" xr:uid="{00000000-0002-0000-0200-000001000000}">
          <x14:formula1>
            <xm:f>'Type of building'!$A$2:$A$8</xm:f>
          </x14:formula1>
          <xm:sqref>B6</xm:sqref>
        </x14:dataValidation>
        <x14:dataValidation type="list" allowBlank="1" showInputMessage="1" showErrorMessage="1" promptTitle="Ventilation system" prompt="Choose ventilation system" xr:uid="{00000000-0002-0000-0200-000002000000}">
          <x14:formula1>
            <xm:f>'Ventilation system'!$A$2:$A$5</xm:f>
          </x14:formula1>
          <xm:sqref>B9</xm:sqref>
        </x14:dataValidation>
        <x14:dataValidation type="list" allowBlank="1" showInputMessage="1" showErrorMessage="1" promptTitle="Cooling system" prompt="Choose cooling system" xr:uid="{00000000-0002-0000-0200-000003000000}">
          <x14:formula1>
            <xm:f>'Cooling system'!$A$2:$A$5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C19" sqref="C19"/>
    </sheetView>
  </sheetViews>
  <sheetFormatPr defaultRowHeight="15" x14ac:dyDescent="0.25"/>
  <cols>
    <col min="1" max="1" width="36.140625" customWidth="1"/>
  </cols>
  <sheetData>
    <row r="1" spans="1:1" x14ac:dyDescent="0.25">
      <c r="A1" t="s">
        <v>93</v>
      </c>
    </row>
    <row r="2" spans="1:1" x14ac:dyDescent="0.25">
      <c r="A2" t="s">
        <v>94</v>
      </c>
    </row>
    <row r="3" spans="1:1" x14ac:dyDescent="0.25">
      <c r="A3" t="s">
        <v>230</v>
      </c>
    </row>
    <row r="4" spans="1:1" x14ac:dyDescent="0.25">
      <c r="A4" t="s">
        <v>229</v>
      </c>
    </row>
    <row r="5" spans="1:1" x14ac:dyDescent="0.25">
      <c r="A5" t="s">
        <v>231</v>
      </c>
    </row>
  </sheetData>
  <sheetProtection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B8" sqref="B8"/>
    </sheetView>
  </sheetViews>
  <sheetFormatPr defaultRowHeight="15" x14ac:dyDescent="0.25"/>
  <cols>
    <col min="1" max="1" width="15.42578125" customWidth="1"/>
  </cols>
  <sheetData>
    <row r="1" spans="1:1" x14ac:dyDescent="0.25">
      <c r="A1" t="s">
        <v>104</v>
      </c>
    </row>
    <row r="2" spans="1:1" x14ac:dyDescent="0.25">
      <c r="A2" t="s">
        <v>105</v>
      </c>
    </row>
    <row r="3" spans="1:1" x14ac:dyDescent="0.25">
      <c r="A3" t="s">
        <v>91</v>
      </c>
    </row>
    <row r="4" spans="1:1" x14ac:dyDescent="0.25">
      <c r="A4" t="s">
        <v>229</v>
      </c>
    </row>
    <row r="5" spans="1:1" x14ac:dyDescent="0.25">
      <c r="A5" t="s">
        <v>231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D8" sqref="D8"/>
    </sheetView>
  </sheetViews>
  <sheetFormatPr defaultRowHeight="15" x14ac:dyDescent="0.25"/>
  <cols>
    <col min="1" max="1" width="28.28515625" customWidth="1"/>
  </cols>
  <sheetData>
    <row r="1" spans="1:1" x14ac:dyDescent="0.25">
      <c r="A1" t="s">
        <v>139</v>
      </c>
    </row>
    <row r="2" spans="1:1" s="39" customFormat="1" x14ac:dyDescent="0.25">
      <c r="A2" s="2" t="s">
        <v>148</v>
      </c>
    </row>
    <row r="3" spans="1:1" x14ac:dyDescent="0.25">
      <c r="A3" s="2" t="s">
        <v>149</v>
      </c>
    </row>
    <row r="4" spans="1:1" x14ac:dyDescent="0.25">
      <c r="A4" s="2" t="s">
        <v>144</v>
      </c>
    </row>
    <row r="5" spans="1:1" x14ac:dyDescent="0.25">
      <c r="A5" s="2" t="s">
        <v>145</v>
      </c>
    </row>
    <row r="6" spans="1:1" x14ac:dyDescent="0.25">
      <c r="A6" s="2" t="s">
        <v>146</v>
      </c>
    </row>
    <row r="7" spans="1:1" x14ac:dyDescent="0.25">
      <c r="A7" s="2" t="s">
        <v>147</v>
      </c>
    </row>
    <row r="8" spans="1:1" x14ac:dyDescent="0.25">
      <c r="A8" s="2" t="s">
        <v>227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11"/>
  <sheetViews>
    <sheetView showGridLines="0" showRowColHeaders="0" zoomScaleNormal="100" workbookViewId="0">
      <selection activeCell="O103" sqref="O103"/>
    </sheetView>
  </sheetViews>
  <sheetFormatPr defaultRowHeight="15" x14ac:dyDescent="0.25"/>
  <cols>
    <col min="1" max="1" width="38.85546875" customWidth="1"/>
    <col min="2" max="2" width="36.140625" customWidth="1"/>
    <col min="15" max="15" width="39.140625" customWidth="1"/>
    <col min="16" max="16" width="34.85546875" customWidth="1"/>
  </cols>
  <sheetData>
    <row r="1" spans="1:14" s="39" customFormat="1" ht="76.5" customHeight="1" thickBot="1" x14ac:dyDescent="0.4">
      <c r="C1" s="155"/>
      <c r="D1" s="305" t="s">
        <v>306</v>
      </c>
      <c r="E1" s="155"/>
      <c r="F1" s="155"/>
      <c r="G1" s="155"/>
      <c r="H1" s="155"/>
      <c r="I1" s="155"/>
      <c r="J1" s="155"/>
      <c r="K1" s="155"/>
      <c r="L1" s="155"/>
      <c r="M1" s="155"/>
      <c r="N1" s="155"/>
    </row>
    <row r="2" spans="1:14" s="39" customFormat="1" ht="16.5" customHeight="1" thickBot="1" x14ac:dyDescent="0.3">
      <c r="A2" s="282" t="s">
        <v>150</v>
      </c>
      <c r="B2" s="283" t="str">
        <f>'2. Inputs and results'!B5</f>
        <v>Building</v>
      </c>
      <c r="C2" s="155"/>
      <c r="D2" s="155"/>
      <c r="E2" s="155"/>
      <c r="F2" s="155"/>
      <c r="G2" s="155"/>
      <c r="H2" s="155"/>
      <c r="I2" s="155"/>
      <c r="J2" s="155"/>
      <c r="K2" s="155"/>
      <c r="L2" s="155"/>
      <c r="M2" s="155"/>
      <c r="N2" s="155"/>
    </row>
    <row r="3" spans="1:14" s="39" customFormat="1" ht="15.75" thickBot="1" x14ac:dyDescent="0.3">
      <c r="A3" s="280"/>
      <c r="B3" s="43"/>
      <c r="C3" s="155"/>
      <c r="D3" s="155"/>
      <c r="E3" s="155"/>
      <c r="F3" s="155"/>
      <c r="G3" s="155"/>
      <c r="H3" s="155"/>
      <c r="I3" s="155"/>
      <c r="J3" s="155"/>
      <c r="K3" s="155"/>
      <c r="L3" s="155"/>
      <c r="M3" s="155"/>
      <c r="N3" s="155"/>
    </row>
    <row r="4" spans="1:14" s="39" customFormat="1" ht="15.75" thickBot="1" x14ac:dyDescent="0.3">
      <c r="A4" s="282" t="s">
        <v>139</v>
      </c>
      <c r="B4" s="283" t="str">
        <f>'2. Inputs and results'!B6</f>
        <v>Housing/ Residential building</v>
      </c>
      <c r="C4" s="155"/>
      <c r="D4" s="155"/>
      <c r="E4" s="155"/>
      <c r="F4" s="155"/>
      <c r="G4" s="155"/>
      <c r="H4" s="155"/>
      <c r="I4" s="155"/>
      <c r="J4" s="155"/>
      <c r="K4" s="155"/>
      <c r="L4" s="155"/>
      <c r="M4" s="155"/>
      <c r="N4" s="155"/>
    </row>
    <row r="5" spans="1:14" s="39" customFormat="1" ht="15.75" thickBot="1" x14ac:dyDescent="0.3">
      <c r="A5" s="280"/>
      <c r="B5" s="43"/>
      <c r="C5" s="155"/>
      <c r="D5" s="155"/>
      <c r="E5" s="155"/>
      <c r="F5" s="155"/>
      <c r="G5" s="155"/>
      <c r="H5" s="155"/>
      <c r="I5" s="155"/>
      <c r="J5" s="155"/>
      <c r="K5" s="155"/>
      <c r="L5" s="155"/>
      <c r="M5" s="155"/>
      <c r="N5" s="155"/>
    </row>
    <row r="6" spans="1:14" s="39" customFormat="1" ht="15.75" thickBot="1" x14ac:dyDescent="0.3">
      <c r="A6" s="282" t="s">
        <v>54</v>
      </c>
      <c r="B6" s="283" t="str">
        <f>'2. Inputs and results'!B8</f>
        <v>District heating</v>
      </c>
      <c r="C6" s="155"/>
      <c r="D6" s="155"/>
      <c r="E6" s="155"/>
      <c r="F6" s="155"/>
      <c r="G6" s="155"/>
      <c r="H6" s="155"/>
      <c r="I6" s="155"/>
      <c r="J6" s="155"/>
      <c r="K6" s="155"/>
      <c r="L6" s="155"/>
      <c r="M6" s="155"/>
      <c r="N6" s="155"/>
    </row>
    <row r="7" spans="1:14" s="39" customFormat="1" ht="15.75" thickBot="1" x14ac:dyDescent="0.3">
      <c r="A7" s="282" t="s">
        <v>93</v>
      </c>
      <c r="B7" s="283" t="str">
        <f>'2. Inputs and results'!B9</f>
        <v>Other</v>
      </c>
      <c r="C7" s="155"/>
      <c r="D7" s="155"/>
      <c r="E7" s="155"/>
      <c r="F7" s="155"/>
      <c r="G7" s="155"/>
      <c r="H7" s="155"/>
      <c r="I7" s="155"/>
      <c r="J7" s="155"/>
      <c r="K7" s="155"/>
      <c r="L7" s="155"/>
      <c r="M7" s="155"/>
      <c r="N7" s="155"/>
    </row>
    <row r="8" spans="1:14" s="39" customFormat="1" ht="15.75" thickBot="1" x14ac:dyDescent="0.3">
      <c r="A8" s="281" t="s">
        <v>104</v>
      </c>
      <c r="B8" s="63" t="str">
        <f>'2. Inputs and results'!B10</f>
        <v>None</v>
      </c>
      <c r="C8" s="155"/>
      <c r="D8" s="155"/>
      <c r="E8" s="155"/>
      <c r="F8" s="155"/>
      <c r="G8" s="155"/>
      <c r="H8" s="155"/>
      <c r="I8" s="155"/>
      <c r="J8" s="155"/>
      <c r="K8" s="155"/>
      <c r="L8" s="155"/>
      <c r="M8" s="155"/>
      <c r="N8" s="155"/>
    </row>
    <row r="9" spans="1:14" s="39" customFormat="1" x14ac:dyDescent="0.25">
      <c r="A9" s="155"/>
      <c r="B9" s="155"/>
      <c r="C9" s="155"/>
      <c r="D9" s="155"/>
      <c r="E9" s="155"/>
      <c r="F9" s="155"/>
      <c r="G9" s="155"/>
      <c r="H9" s="155"/>
      <c r="I9" s="155"/>
      <c r="J9" s="155"/>
      <c r="K9" s="155"/>
      <c r="L9" s="155"/>
      <c r="M9" s="155"/>
      <c r="N9" s="155"/>
    </row>
    <row r="10" spans="1:14" s="39" customFormat="1" x14ac:dyDescent="0.25">
      <c r="A10" s="155"/>
      <c r="B10" s="155"/>
      <c r="C10" s="155"/>
      <c r="D10" s="155"/>
      <c r="E10" s="155"/>
      <c r="F10" s="155"/>
      <c r="G10" s="155"/>
      <c r="H10" s="155"/>
      <c r="I10" s="155"/>
      <c r="J10" s="155"/>
      <c r="K10" s="155"/>
      <c r="L10" s="155"/>
      <c r="M10" s="155"/>
      <c r="N10" s="155"/>
    </row>
    <row r="11" spans="1:14" ht="18.75" x14ac:dyDescent="0.3">
      <c r="A11" s="216" t="str">
        <f>'2. Inputs and results'!B19</f>
        <v xml:space="preserve">Ventilation system with heat recovery </v>
      </c>
      <c r="B11" s="155"/>
      <c r="C11" s="155"/>
      <c r="D11" s="155"/>
      <c r="E11" s="216" t="str">
        <f>'2. Inputs and results'!C19</f>
        <v>Geothermal heat pump system</v>
      </c>
      <c r="F11" s="155"/>
      <c r="G11" s="155"/>
      <c r="H11" s="155"/>
      <c r="I11" s="155"/>
      <c r="J11" s="155"/>
      <c r="K11" s="155"/>
      <c r="L11" s="155"/>
      <c r="M11" s="155"/>
      <c r="N11" s="155"/>
    </row>
    <row r="12" spans="1:14" x14ac:dyDescent="0.25">
      <c r="A12" s="155"/>
      <c r="B12" s="155"/>
      <c r="C12" s="155"/>
      <c r="D12" s="155"/>
      <c r="E12" s="155"/>
      <c r="F12" s="155"/>
      <c r="G12" s="155"/>
      <c r="H12" s="155"/>
      <c r="I12" s="155"/>
      <c r="J12" s="155"/>
      <c r="K12" s="155"/>
      <c r="L12" s="155"/>
      <c r="M12" s="155"/>
      <c r="N12" s="155"/>
    </row>
    <row r="13" spans="1:14" x14ac:dyDescent="0.25">
      <c r="A13" s="155"/>
      <c r="B13" s="155"/>
      <c r="C13" s="155"/>
      <c r="D13" s="155"/>
      <c r="E13" s="155"/>
      <c r="F13" s="155"/>
      <c r="G13" s="155"/>
      <c r="H13" s="155"/>
      <c r="I13" s="155"/>
      <c r="J13" s="155"/>
      <c r="K13" s="155"/>
      <c r="L13" s="155"/>
      <c r="M13" s="155"/>
      <c r="N13" s="155"/>
    </row>
    <row r="14" spans="1:14" x14ac:dyDescent="0.25">
      <c r="A14" s="155"/>
      <c r="B14" s="155"/>
      <c r="C14" s="155"/>
      <c r="D14" s="155"/>
      <c r="E14" s="155"/>
      <c r="F14" s="155"/>
      <c r="G14" s="155"/>
      <c r="H14" s="155"/>
      <c r="I14" s="155"/>
      <c r="J14" s="155"/>
      <c r="K14" s="155"/>
      <c r="L14" s="155"/>
      <c r="M14" s="155"/>
      <c r="N14" s="155"/>
    </row>
    <row r="15" spans="1:14" x14ac:dyDescent="0.25">
      <c r="A15" s="155"/>
      <c r="B15" s="155"/>
      <c r="C15" s="155"/>
      <c r="D15" s="155"/>
      <c r="E15" s="155"/>
      <c r="F15" s="155"/>
      <c r="G15" s="155"/>
      <c r="H15" s="155"/>
      <c r="I15" s="155"/>
      <c r="J15" s="155"/>
      <c r="K15" s="155"/>
      <c r="L15" s="155"/>
      <c r="M15" s="155"/>
      <c r="N15" s="155"/>
    </row>
    <row r="16" spans="1:14" x14ac:dyDescent="0.25">
      <c r="A16" s="155"/>
      <c r="B16" s="155"/>
      <c r="C16" s="155"/>
      <c r="D16" s="155"/>
      <c r="E16" s="155"/>
      <c r="F16" s="155"/>
      <c r="G16" s="155"/>
      <c r="H16" s="155"/>
      <c r="I16" s="155"/>
      <c r="J16" s="155"/>
      <c r="K16" s="155"/>
      <c r="L16" s="155"/>
      <c r="M16" s="155"/>
      <c r="N16" s="155"/>
    </row>
    <row r="17" spans="1:14" x14ac:dyDescent="0.25">
      <c r="A17" s="155"/>
      <c r="B17" s="155"/>
      <c r="C17" s="155"/>
      <c r="D17" s="155"/>
      <c r="E17" s="155"/>
      <c r="F17" s="155"/>
      <c r="G17" s="155"/>
      <c r="H17" s="155"/>
      <c r="I17" s="155"/>
      <c r="J17" s="155"/>
      <c r="K17" s="155"/>
      <c r="L17" s="155"/>
      <c r="M17" s="155"/>
      <c r="N17" s="155"/>
    </row>
    <row r="18" spans="1:14" x14ac:dyDescent="0.25">
      <c r="A18" s="155"/>
      <c r="B18" s="155"/>
      <c r="C18" s="155"/>
      <c r="D18" s="155"/>
      <c r="E18" s="155"/>
      <c r="F18" s="155"/>
      <c r="G18" s="155"/>
      <c r="H18" s="155"/>
      <c r="I18" s="155"/>
      <c r="J18" s="155"/>
      <c r="K18" s="155"/>
      <c r="L18" s="155"/>
      <c r="M18" s="155"/>
      <c r="N18" s="155"/>
    </row>
    <row r="19" spans="1:14" x14ac:dyDescent="0.25">
      <c r="A19" s="155"/>
      <c r="B19" s="155"/>
      <c r="C19" s="155"/>
      <c r="D19" s="155"/>
      <c r="E19" s="155"/>
      <c r="F19" s="155"/>
      <c r="G19" s="155"/>
      <c r="H19" s="155"/>
      <c r="I19" s="155"/>
      <c r="J19" s="155"/>
      <c r="K19" s="155"/>
      <c r="L19" s="155"/>
      <c r="M19" s="155"/>
      <c r="N19" s="155"/>
    </row>
    <row r="20" spans="1:14" x14ac:dyDescent="0.25">
      <c r="A20" s="155"/>
      <c r="B20" s="155"/>
      <c r="C20" s="155"/>
      <c r="D20" s="155"/>
      <c r="E20" s="155"/>
      <c r="F20" s="155"/>
      <c r="G20" s="155"/>
      <c r="H20" s="155"/>
      <c r="I20" s="155"/>
      <c r="J20" s="155"/>
      <c r="K20" s="155"/>
      <c r="L20" s="155"/>
      <c r="M20" s="155"/>
      <c r="N20" s="155"/>
    </row>
    <row r="21" spans="1:14" x14ac:dyDescent="0.25">
      <c r="A21" s="155"/>
      <c r="B21" s="155"/>
      <c r="C21" s="155"/>
      <c r="D21" s="155"/>
      <c r="E21" s="155"/>
      <c r="F21" s="155"/>
      <c r="G21" s="155"/>
      <c r="H21" s="155"/>
      <c r="I21" s="155"/>
      <c r="J21" s="155"/>
      <c r="K21" s="155"/>
      <c r="L21" s="155"/>
      <c r="M21" s="155"/>
      <c r="N21" s="155"/>
    </row>
    <row r="22" spans="1:14" x14ac:dyDescent="0.25">
      <c r="A22" s="155"/>
      <c r="B22" s="155"/>
      <c r="C22" s="155"/>
      <c r="D22" s="155"/>
      <c r="E22" s="155"/>
      <c r="F22" s="155"/>
      <c r="G22" s="155"/>
      <c r="H22" s="155"/>
      <c r="I22" s="155"/>
      <c r="J22" s="155"/>
      <c r="K22" s="155"/>
      <c r="L22" s="155"/>
      <c r="M22" s="155"/>
      <c r="N22" s="155"/>
    </row>
    <row r="23" spans="1:14" x14ac:dyDescent="0.25">
      <c r="A23" s="155"/>
      <c r="B23" s="155"/>
      <c r="C23" s="155"/>
      <c r="D23" s="155"/>
      <c r="E23" s="155"/>
      <c r="F23" s="155"/>
      <c r="G23" s="155"/>
      <c r="H23" s="155"/>
      <c r="I23" s="155"/>
      <c r="J23" s="155"/>
      <c r="K23" s="155"/>
      <c r="L23" s="155"/>
      <c r="M23" s="155"/>
      <c r="N23" s="155"/>
    </row>
    <row r="24" spans="1:14" x14ac:dyDescent="0.25">
      <c r="A24" s="155"/>
      <c r="B24" s="155"/>
      <c r="C24" s="155"/>
      <c r="D24" s="155"/>
      <c r="E24" s="155"/>
      <c r="F24" s="155"/>
      <c r="G24" s="155"/>
      <c r="H24" s="155"/>
      <c r="I24" s="155"/>
      <c r="J24" s="155"/>
      <c r="K24" s="155"/>
      <c r="L24" s="155"/>
      <c r="M24" s="155"/>
      <c r="N24" s="155"/>
    </row>
    <row r="25" spans="1:14" x14ac:dyDescent="0.25">
      <c r="A25" s="155"/>
      <c r="B25" s="155"/>
      <c r="C25" s="155"/>
      <c r="D25" s="155"/>
      <c r="E25" s="155"/>
      <c r="F25" s="155"/>
      <c r="G25" s="155"/>
      <c r="H25" s="155"/>
      <c r="I25" s="155"/>
      <c r="J25" s="155"/>
      <c r="K25" s="155"/>
      <c r="L25" s="155"/>
      <c r="M25" s="155"/>
      <c r="N25" s="155"/>
    </row>
    <row r="26" spans="1:14" x14ac:dyDescent="0.25">
      <c r="A26" s="155"/>
      <c r="B26" s="155"/>
      <c r="C26" s="155"/>
      <c r="D26" s="155"/>
      <c r="E26" s="155"/>
      <c r="F26" s="155"/>
      <c r="G26" s="155"/>
      <c r="H26" s="155"/>
      <c r="I26" s="155"/>
      <c r="J26" s="155"/>
      <c r="K26" s="155"/>
      <c r="L26" s="155"/>
      <c r="M26" s="155"/>
      <c r="N26" s="155"/>
    </row>
    <row r="27" spans="1:14" x14ac:dyDescent="0.25">
      <c r="A27" s="155"/>
      <c r="B27" s="155"/>
      <c r="C27" s="155"/>
      <c r="D27" s="155"/>
      <c r="E27" s="155"/>
      <c r="F27" s="155"/>
      <c r="G27" s="155"/>
      <c r="H27" s="155"/>
      <c r="I27" s="155"/>
      <c r="J27" s="155"/>
      <c r="K27" s="155"/>
      <c r="L27" s="155"/>
      <c r="M27" s="155"/>
      <c r="N27" s="155"/>
    </row>
    <row r="28" spans="1:14" x14ac:dyDescent="0.25">
      <c r="A28" s="155"/>
      <c r="B28" s="155"/>
      <c r="C28" s="155"/>
      <c r="D28" s="155"/>
      <c r="E28" s="155"/>
      <c r="F28" s="155"/>
      <c r="G28" s="155"/>
      <c r="H28" s="155"/>
      <c r="I28" s="155"/>
      <c r="J28" s="155"/>
      <c r="K28" s="155"/>
      <c r="L28" s="155"/>
      <c r="M28" s="155"/>
      <c r="N28" s="155"/>
    </row>
    <row r="29" spans="1:14" x14ac:dyDescent="0.25">
      <c r="A29" s="155"/>
      <c r="B29" s="155"/>
      <c r="C29" s="155"/>
      <c r="D29" s="155"/>
      <c r="E29" s="155"/>
      <c r="F29" s="155"/>
      <c r="G29" s="155"/>
      <c r="H29" s="155"/>
      <c r="I29" s="155"/>
      <c r="J29" s="155"/>
      <c r="K29" s="155"/>
      <c r="L29" s="155"/>
      <c r="M29" s="155"/>
      <c r="N29" s="155"/>
    </row>
    <row r="30" spans="1:14" x14ac:dyDescent="0.25">
      <c r="A30" s="155"/>
      <c r="B30" s="155"/>
      <c r="C30" s="155"/>
      <c r="D30" s="155"/>
      <c r="E30" s="155"/>
      <c r="F30" s="155"/>
      <c r="G30" s="155"/>
      <c r="H30" s="155"/>
      <c r="I30" s="155"/>
      <c r="J30" s="155"/>
      <c r="K30" s="155"/>
      <c r="L30" s="155"/>
      <c r="M30" s="155"/>
      <c r="N30" s="155"/>
    </row>
    <row r="31" spans="1:14" x14ac:dyDescent="0.25">
      <c r="A31" s="155"/>
      <c r="B31" s="155"/>
      <c r="C31" s="155"/>
      <c r="D31" s="155"/>
      <c r="E31" s="155"/>
      <c r="F31" s="155"/>
      <c r="G31" s="155"/>
      <c r="H31" s="155"/>
      <c r="I31" s="155"/>
      <c r="J31" s="155"/>
      <c r="K31" s="155"/>
      <c r="L31" s="155"/>
      <c r="M31" s="155"/>
      <c r="N31" s="155"/>
    </row>
    <row r="32" spans="1:14" x14ac:dyDescent="0.25">
      <c r="A32" s="155"/>
      <c r="B32" s="155"/>
      <c r="C32" s="155"/>
      <c r="D32" s="155"/>
      <c r="E32" s="155"/>
      <c r="F32" s="155"/>
      <c r="G32" s="155"/>
      <c r="H32" s="155"/>
      <c r="I32" s="155"/>
      <c r="J32" s="155"/>
      <c r="K32" s="155"/>
      <c r="L32" s="155"/>
      <c r="M32" s="155"/>
      <c r="N32" s="155"/>
    </row>
    <row r="33" spans="1:14" ht="18.75" x14ac:dyDescent="0.3">
      <c r="A33" s="216" t="str">
        <f>'2. Inputs and results'!B19</f>
        <v xml:space="preserve">Ventilation system with heat recovery </v>
      </c>
      <c r="B33" s="155"/>
      <c r="D33" s="155"/>
      <c r="E33" s="216" t="str">
        <f>'2. Inputs and results'!C19</f>
        <v>Geothermal heat pump system</v>
      </c>
      <c r="F33" s="155"/>
      <c r="G33" s="155"/>
      <c r="H33" s="155"/>
      <c r="I33" s="155"/>
      <c r="J33" s="155"/>
      <c r="K33" s="155"/>
      <c r="L33" s="155"/>
      <c r="M33" s="155"/>
      <c r="N33" s="155"/>
    </row>
    <row r="34" spans="1:14" x14ac:dyDescent="0.25">
      <c r="A34" s="155"/>
      <c r="B34" s="155"/>
      <c r="C34" s="155"/>
      <c r="D34" s="155"/>
      <c r="E34" s="155"/>
      <c r="F34" s="155"/>
      <c r="G34" s="155"/>
      <c r="H34" s="155"/>
      <c r="I34" s="155"/>
      <c r="J34" s="155"/>
      <c r="K34" s="155"/>
      <c r="L34" s="155"/>
      <c r="M34" s="155"/>
      <c r="N34" s="155"/>
    </row>
    <row r="35" spans="1:14" x14ac:dyDescent="0.25">
      <c r="A35" s="155"/>
      <c r="B35" s="155"/>
      <c r="C35" s="155"/>
      <c r="D35" s="155"/>
      <c r="E35" s="155"/>
      <c r="F35" s="155"/>
      <c r="G35" s="155"/>
      <c r="H35" s="155"/>
      <c r="I35" s="155"/>
      <c r="J35" s="155"/>
      <c r="K35" s="155"/>
      <c r="L35" s="155"/>
      <c r="M35" s="155"/>
      <c r="N35" s="155"/>
    </row>
    <row r="36" spans="1:14" x14ac:dyDescent="0.25">
      <c r="A36" s="155"/>
      <c r="B36" s="155"/>
      <c r="C36" s="155"/>
      <c r="D36" s="155"/>
      <c r="E36" s="155"/>
      <c r="F36" s="155"/>
      <c r="G36" s="155"/>
      <c r="H36" s="155"/>
      <c r="I36" s="155"/>
      <c r="J36" s="155"/>
      <c r="K36" s="155"/>
      <c r="L36" s="155"/>
      <c r="M36" s="155"/>
      <c r="N36" s="155"/>
    </row>
    <row r="37" spans="1:14" x14ac:dyDescent="0.25">
      <c r="A37" s="155"/>
      <c r="B37" s="155"/>
      <c r="C37" s="155"/>
      <c r="D37" s="155"/>
      <c r="E37" s="155"/>
      <c r="F37" s="155"/>
      <c r="G37" s="155"/>
      <c r="H37" s="155"/>
      <c r="I37" s="155"/>
      <c r="J37" s="155"/>
      <c r="K37" s="155"/>
      <c r="L37" s="155"/>
      <c r="M37" s="155"/>
      <c r="N37" s="155"/>
    </row>
    <row r="38" spans="1:14" x14ac:dyDescent="0.25">
      <c r="A38" s="155"/>
      <c r="B38" s="155"/>
      <c r="C38" s="155"/>
      <c r="D38" s="155"/>
      <c r="E38" s="155"/>
      <c r="F38" s="155"/>
      <c r="G38" s="155"/>
      <c r="H38" s="155"/>
      <c r="I38" s="155"/>
      <c r="J38" s="155"/>
      <c r="K38" s="155"/>
      <c r="L38" s="155"/>
      <c r="M38" s="155"/>
      <c r="N38" s="155"/>
    </row>
    <row r="39" spans="1:14" x14ac:dyDescent="0.25">
      <c r="A39" s="155"/>
      <c r="B39" s="155"/>
      <c r="C39" s="155"/>
      <c r="D39" s="155"/>
      <c r="E39" s="155"/>
      <c r="F39" s="155"/>
      <c r="G39" s="155"/>
      <c r="H39" s="155"/>
      <c r="I39" s="155"/>
      <c r="J39" s="155"/>
      <c r="K39" s="155"/>
      <c r="L39" s="155"/>
      <c r="M39" s="155"/>
      <c r="N39" s="155"/>
    </row>
    <row r="40" spans="1:14" x14ac:dyDescent="0.25">
      <c r="A40" s="155"/>
      <c r="B40" s="155"/>
      <c r="C40" s="155"/>
      <c r="D40" s="155"/>
      <c r="E40" s="155"/>
      <c r="F40" s="155"/>
      <c r="G40" s="155"/>
      <c r="H40" s="155"/>
      <c r="I40" s="155"/>
      <c r="J40" s="155"/>
      <c r="K40" s="155"/>
      <c r="L40" s="155"/>
      <c r="M40" s="155"/>
      <c r="N40" s="155"/>
    </row>
    <row r="41" spans="1:14" x14ac:dyDescent="0.25">
      <c r="A41" s="155"/>
      <c r="B41" s="155"/>
      <c r="C41" s="155"/>
      <c r="D41" s="155"/>
      <c r="E41" s="155"/>
      <c r="F41" s="155"/>
      <c r="G41" s="155"/>
      <c r="H41" s="155"/>
      <c r="I41" s="155"/>
      <c r="J41" s="155"/>
      <c r="K41" s="155"/>
      <c r="L41" s="155"/>
      <c r="M41" s="155"/>
      <c r="N41" s="155"/>
    </row>
    <row r="42" spans="1:14" x14ac:dyDescent="0.25">
      <c r="A42" s="155"/>
      <c r="B42" s="155"/>
      <c r="C42" s="155"/>
      <c r="D42" s="155"/>
      <c r="E42" s="155"/>
      <c r="F42" s="155"/>
      <c r="G42" s="155"/>
      <c r="H42" s="155"/>
      <c r="I42" s="155"/>
      <c r="J42" s="155"/>
      <c r="K42" s="155"/>
      <c r="L42" s="155"/>
      <c r="M42" s="155"/>
      <c r="N42" s="155"/>
    </row>
    <row r="43" spans="1:14" x14ac:dyDescent="0.25">
      <c r="A43" s="155"/>
      <c r="B43" s="155"/>
      <c r="C43" s="155"/>
      <c r="D43" s="155"/>
      <c r="E43" s="155"/>
      <c r="F43" s="155"/>
      <c r="G43" s="155"/>
      <c r="H43" s="155"/>
      <c r="I43" s="155"/>
      <c r="J43" s="155"/>
      <c r="K43" s="155"/>
      <c r="L43" s="155"/>
      <c r="M43" s="155"/>
      <c r="N43" s="155"/>
    </row>
    <row r="44" spans="1:14" x14ac:dyDescent="0.25">
      <c r="A44" s="155"/>
      <c r="B44" s="155"/>
      <c r="C44" s="155"/>
      <c r="D44" s="155"/>
      <c r="E44" s="155"/>
      <c r="F44" s="155"/>
      <c r="G44" s="155"/>
      <c r="H44" s="155"/>
      <c r="I44" s="155"/>
      <c r="J44" s="155"/>
      <c r="K44" s="155"/>
      <c r="L44" s="155"/>
      <c r="M44" s="155"/>
      <c r="N44" s="155"/>
    </row>
    <row r="45" spans="1:14" x14ac:dyDescent="0.25">
      <c r="A45" s="155"/>
      <c r="B45" s="155"/>
      <c r="C45" s="155"/>
      <c r="D45" s="155"/>
      <c r="E45" s="155"/>
      <c r="F45" s="155"/>
      <c r="G45" s="155"/>
      <c r="H45" s="155"/>
      <c r="I45" s="155"/>
      <c r="J45" s="155"/>
      <c r="K45" s="155"/>
      <c r="L45" s="155"/>
      <c r="M45" s="155"/>
      <c r="N45" s="155"/>
    </row>
    <row r="46" spans="1:14" x14ac:dyDescent="0.25">
      <c r="A46" s="155"/>
      <c r="B46" s="155"/>
      <c r="C46" s="155"/>
      <c r="D46" s="155"/>
      <c r="E46" s="155"/>
      <c r="F46" s="155"/>
      <c r="G46" s="155"/>
      <c r="H46" s="155"/>
      <c r="I46" s="155"/>
      <c r="J46" s="155"/>
      <c r="K46" s="155"/>
      <c r="L46" s="155"/>
      <c r="M46" s="155"/>
      <c r="N46" s="155"/>
    </row>
    <row r="47" spans="1:14" x14ac:dyDescent="0.25">
      <c r="A47" s="155"/>
      <c r="B47" s="155"/>
      <c r="C47" s="155"/>
      <c r="D47" s="155"/>
      <c r="E47" s="155"/>
      <c r="F47" s="155"/>
      <c r="G47" s="155"/>
      <c r="H47" s="155"/>
      <c r="I47" s="155"/>
      <c r="J47" s="155"/>
      <c r="K47" s="155"/>
      <c r="L47" s="155"/>
      <c r="M47" s="155"/>
      <c r="N47" s="155"/>
    </row>
    <row r="48" spans="1:14" x14ac:dyDescent="0.25">
      <c r="A48" s="155"/>
      <c r="B48" s="155"/>
      <c r="C48" s="155"/>
      <c r="D48" s="155"/>
      <c r="E48" s="155"/>
      <c r="F48" s="155"/>
      <c r="G48" s="155"/>
      <c r="H48" s="155"/>
      <c r="I48" s="155"/>
      <c r="J48" s="155"/>
      <c r="K48" s="155"/>
      <c r="L48" s="155"/>
      <c r="M48" s="155"/>
      <c r="N48" s="155"/>
    </row>
    <row r="49" spans="1:14" x14ac:dyDescent="0.25">
      <c r="A49" s="155"/>
      <c r="B49" s="155"/>
      <c r="C49" s="155"/>
      <c r="D49" s="155"/>
      <c r="E49" s="155"/>
      <c r="F49" s="155"/>
      <c r="G49" s="155"/>
      <c r="H49" s="155"/>
      <c r="I49" s="155"/>
      <c r="J49" s="155"/>
      <c r="K49" s="155"/>
      <c r="L49" s="155"/>
      <c r="M49" s="155"/>
      <c r="N49" s="155"/>
    </row>
    <row r="50" spans="1:14" x14ac:dyDescent="0.25">
      <c r="A50" s="155"/>
      <c r="B50" s="155"/>
      <c r="C50" s="155"/>
      <c r="D50" s="155"/>
      <c r="E50" s="155"/>
      <c r="F50" s="155"/>
      <c r="G50" s="155"/>
      <c r="H50" s="155"/>
      <c r="I50" s="155"/>
      <c r="J50" s="155"/>
      <c r="K50" s="155"/>
      <c r="L50" s="155"/>
      <c r="M50" s="155"/>
      <c r="N50" s="155"/>
    </row>
    <row r="51" spans="1:14" x14ac:dyDescent="0.25">
      <c r="A51" s="155"/>
      <c r="B51" s="155"/>
      <c r="C51" s="155"/>
      <c r="D51" s="155"/>
      <c r="E51" s="155"/>
      <c r="F51" s="155"/>
      <c r="G51" s="155"/>
      <c r="H51" s="155"/>
      <c r="I51" s="155"/>
      <c r="J51" s="155"/>
      <c r="K51" s="155"/>
      <c r="L51" s="155"/>
      <c r="M51" s="155"/>
      <c r="N51" s="155"/>
    </row>
    <row r="52" spans="1:14" x14ac:dyDescent="0.25">
      <c r="A52" s="155"/>
      <c r="B52" s="155"/>
      <c r="C52" s="155"/>
      <c r="D52" s="155"/>
      <c r="E52" s="155"/>
      <c r="F52" s="155"/>
      <c r="G52" s="155"/>
      <c r="H52" s="155"/>
      <c r="I52" s="155"/>
      <c r="J52" s="155"/>
      <c r="K52" s="155"/>
      <c r="L52" s="155"/>
      <c r="M52" s="155"/>
      <c r="N52" s="155"/>
    </row>
    <row r="53" spans="1:14" x14ac:dyDescent="0.25">
      <c r="A53" s="155"/>
      <c r="B53" s="155"/>
      <c r="C53" s="155"/>
      <c r="D53" s="155"/>
      <c r="E53" s="155"/>
      <c r="F53" s="155"/>
      <c r="G53" s="155"/>
      <c r="H53" s="155"/>
      <c r="I53" s="155"/>
      <c r="J53" s="155"/>
      <c r="K53" s="155"/>
      <c r="L53" s="155"/>
      <c r="M53" s="155"/>
      <c r="N53" s="155"/>
    </row>
    <row r="54" spans="1:14" s="39" customFormat="1" x14ac:dyDescent="0.25">
      <c r="A54" s="155"/>
      <c r="B54" s="155"/>
      <c r="C54" s="155"/>
      <c r="D54" s="155"/>
      <c r="E54" s="155"/>
      <c r="F54" s="155"/>
      <c r="G54" s="155"/>
      <c r="H54" s="155"/>
      <c r="I54" s="155"/>
      <c r="J54" s="155"/>
      <c r="K54" s="155"/>
      <c r="L54" s="155"/>
      <c r="M54" s="155"/>
      <c r="N54" s="155"/>
    </row>
    <row r="55" spans="1:14" ht="18.75" x14ac:dyDescent="0.3">
      <c r="A55" s="216" t="str">
        <f>'2. Inputs and results'!B19</f>
        <v xml:space="preserve">Ventilation system with heat recovery </v>
      </c>
      <c r="B55" s="155"/>
      <c r="D55" s="155"/>
      <c r="E55" s="216" t="str">
        <f>'2. Inputs and results'!C19</f>
        <v>Geothermal heat pump system</v>
      </c>
      <c r="F55" s="155"/>
      <c r="G55" s="155"/>
      <c r="H55" s="155"/>
      <c r="I55" s="155"/>
      <c r="J55" s="155"/>
      <c r="K55" s="155"/>
      <c r="L55" s="155"/>
      <c r="M55" s="155"/>
      <c r="N55" s="155"/>
    </row>
    <row r="56" spans="1:14" x14ac:dyDescent="0.25">
      <c r="A56" s="155"/>
      <c r="B56" s="155"/>
      <c r="C56" s="155"/>
      <c r="D56" s="155"/>
      <c r="E56" s="155"/>
      <c r="F56" s="155"/>
      <c r="G56" s="155"/>
      <c r="H56" s="155"/>
      <c r="I56" s="155"/>
      <c r="J56" s="155"/>
      <c r="K56" s="155"/>
      <c r="L56" s="155"/>
      <c r="M56" s="155"/>
      <c r="N56" s="155"/>
    </row>
    <row r="57" spans="1:14" x14ac:dyDescent="0.25">
      <c r="A57" s="155"/>
      <c r="B57" s="155"/>
      <c r="C57" s="155"/>
      <c r="D57" s="155"/>
      <c r="E57" s="155"/>
      <c r="F57" s="155"/>
      <c r="G57" s="155"/>
      <c r="H57" s="155"/>
      <c r="I57" s="155"/>
      <c r="J57" s="155"/>
      <c r="K57" s="155"/>
      <c r="L57" s="155"/>
      <c r="M57" s="155"/>
      <c r="N57" s="155"/>
    </row>
    <row r="58" spans="1:14" x14ac:dyDescent="0.25">
      <c r="A58" s="155"/>
      <c r="B58" s="155"/>
      <c r="C58" s="155"/>
      <c r="D58" s="155"/>
      <c r="E58" s="155"/>
      <c r="F58" s="155"/>
      <c r="G58" s="155"/>
      <c r="H58" s="155"/>
      <c r="I58" s="155"/>
      <c r="J58" s="155"/>
      <c r="K58" s="155"/>
      <c r="L58" s="155"/>
      <c r="M58" s="155"/>
      <c r="N58" s="155"/>
    </row>
    <row r="59" spans="1:14" x14ac:dyDescent="0.25">
      <c r="A59" s="155"/>
      <c r="B59" s="155"/>
      <c r="C59" s="155"/>
      <c r="D59" s="155"/>
      <c r="E59" s="155"/>
      <c r="F59" s="155"/>
      <c r="G59" s="155"/>
      <c r="H59" s="155"/>
      <c r="I59" s="155"/>
      <c r="J59" s="155"/>
      <c r="K59" s="155"/>
      <c r="L59" s="155"/>
      <c r="M59" s="155"/>
      <c r="N59" s="155"/>
    </row>
    <row r="60" spans="1:14" x14ac:dyDescent="0.25">
      <c r="A60" s="155"/>
      <c r="B60" s="155"/>
      <c r="C60" s="155"/>
      <c r="D60" s="155"/>
      <c r="E60" s="155"/>
      <c r="F60" s="155"/>
      <c r="G60" s="155"/>
      <c r="H60" s="155"/>
      <c r="I60" s="155"/>
      <c r="J60" s="155"/>
      <c r="K60" s="155"/>
      <c r="L60" s="155"/>
      <c r="M60" s="155"/>
      <c r="N60" s="155"/>
    </row>
    <row r="61" spans="1:14" x14ac:dyDescent="0.25">
      <c r="A61" s="155"/>
      <c r="B61" s="155"/>
      <c r="C61" s="155"/>
      <c r="D61" s="155"/>
      <c r="E61" s="155"/>
      <c r="F61" s="155"/>
      <c r="G61" s="155"/>
      <c r="H61" s="155"/>
      <c r="I61" s="155"/>
      <c r="J61" s="155"/>
      <c r="K61" s="155"/>
      <c r="L61" s="155"/>
      <c r="M61" s="155"/>
      <c r="N61" s="155"/>
    </row>
    <row r="62" spans="1:14" x14ac:dyDescent="0.25">
      <c r="A62" s="155"/>
      <c r="B62" s="155"/>
      <c r="C62" s="155"/>
      <c r="D62" s="155"/>
      <c r="E62" s="155"/>
      <c r="F62" s="155"/>
      <c r="G62" s="155"/>
      <c r="H62" s="155"/>
      <c r="I62" s="155"/>
      <c r="J62" s="155"/>
      <c r="K62" s="155"/>
      <c r="L62" s="155"/>
      <c r="M62" s="155"/>
      <c r="N62" s="155"/>
    </row>
    <row r="63" spans="1:14" x14ac:dyDescent="0.25">
      <c r="A63" s="155"/>
      <c r="B63" s="155"/>
      <c r="C63" s="155"/>
      <c r="D63" s="155"/>
      <c r="E63" s="155"/>
      <c r="F63" s="155"/>
      <c r="G63" s="155"/>
      <c r="H63" s="155"/>
      <c r="I63" s="155"/>
      <c r="J63" s="155"/>
      <c r="K63" s="155"/>
      <c r="L63" s="155"/>
      <c r="M63" s="155"/>
      <c r="N63" s="155"/>
    </row>
    <row r="64" spans="1:14" x14ac:dyDescent="0.25">
      <c r="A64" s="155"/>
      <c r="B64" s="155"/>
      <c r="C64" s="155"/>
      <c r="D64" s="155"/>
      <c r="E64" s="155"/>
      <c r="F64" s="155"/>
      <c r="G64" s="155"/>
      <c r="H64" s="155"/>
      <c r="I64" s="155"/>
      <c r="J64" s="155"/>
      <c r="K64" s="155"/>
      <c r="L64" s="155"/>
      <c r="M64" s="155"/>
      <c r="N64" s="155"/>
    </row>
    <row r="65" spans="1:14" x14ac:dyDescent="0.25">
      <c r="A65" s="155"/>
      <c r="B65" s="155"/>
      <c r="C65" s="155"/>
      <c r="D65" s="155"/>
      <c r="E65" s="155"/>
      <c r="F65" s="155"/>
      <c r="G65" s="155"/>
      <c r="H65" s="155"/>
      <c r="I65" s="155"/>
      <c r="J65" s="155"/>
      <c r="K65" s="155"/>
      <c r="L65" s="155"/>
      <c r="M65" s="155"/>
      <c r="N65" s="155"/>
    </row>
    <row r="66" spans="1:14" x14ac:dyDescent="0.25">
      <c r="A66" s="155"/>
      <c r="B66" s="155"/>
      <c r="C66" s="155"/>
      <c r="D66" s="155"/>
      <c r="E66" s="155"/>
      <c r="F66" s="155"/>
      <c r="G66" s="155"/>
      <c r="H66" s="155"/>
      <c r="I66" s="155"/>
      <c r="J66" s="155"/>
      <c r="K66" s="155"/>
      <c r="L66" s="155"/>
      <c r="M66" s="155"/>
      <c r="N66" s="155"/>
    </row>
    <row r="67" spans="1:14" x14ac:dyDescent="0.25">
      <c r="A67" s="155"/>
      <c r="B67" s="155"/>
      <c r="C67" s="155"/>
      <c r="D67" s="155"/>
      <c r="E67" s="155"/>
      <c r="F67" s="155"/>
      <c r="G67" s="155"/>
      <c r="H67" s="155"/>
      <c r="I67" s="155"/>
      <c r="J67" s="155"/>
      <c r="K67" s="155"/>
      <c r="L67" s="155"/>
      <c r="M67" s="155"/>
      <c r="N67" s="155"/>
    </row>
    <row r="68" spans="1:14" x14ac:dyDescent="0.25">
      <c r="A68" s="155"/>
      <c r="B68" s="155"/>
      <c r="C68" s="155"/>
      <c r="D68" s="155"/>
      <c r="E68" s="155"/>
      <c r="F68" s="155"/>
      <c r="G68" s="155"/>
      <c r="H68" s="155"/>
      <c r="I68" s="155"/>
      <c r="J68" s="155"/>
      <c r="K68" s="155"/>
      <c r="L68" s="155"/>
      <c r="M68" s="155"/>
      <c r="N68" s="155"/>
    </row>
    <row r="69" spans="1:14" x14ac:dyDescent="0.25">
      <c r="A69" s="155"/>
      <c r="B69" s="155"/>
      <c r="C69" s="155"/>
      <c r="D69" s="155"/>
      <c r="E69" s="155"/>
      <c r="F69" s="155"/>
      <c r="G69" s="155"/>
      <c r="H69" s="155"/>
      <c r="I69" s="155"/>
      <c r="J69" s="155"/>
      <c r="K69" s="155"/>
      <c r="L69" s="155"/>
      <c r="M69" s="155"/>
      <c r="N69" s="155"/>
    </row>
    <row r="70" spans="1:14" x14ac:dyDescent="0.25">
      <c r="A70" s="155"/>
      <c r="B70" s="155"/>
      <c r="C70" s="155"/>
      <c r="D70" s="155"/>
      <c r="E70" s="155"/>
      <c r="F70" s="155"/>
      <c r="G70" s="155"/>
      <c r="H70" s="155"/>
      <c r="I70" s="155"/>
      <c r="J70" s="155"/>
      <c r="K70" s="155"/>
      <c r="L70" s="155"/>
      <c r="M70" s="155"/>
      <c r="N70" s="155"/>
    </row>
    <row r="71" spans="1:14" x14ac:dyDescent="0.25">
      <c r="A71" s="155"/>
      <c r="B71" s="155"/>
      <c r="C71" s="155"/>
      <c r="D71" s="155"/>
      <c r="E71" s="155"/>
      <c r="F71" s="155"/>
      <c r="G71" s="155"/>
      <c r="H71" s="155"/>
      <c r="I71" s="155"/>
      <c r="J71" s="155"/>
      <c r="K71" s="155"/>
      <c r="L71" s="155"/>
      <c r="M71" s="155"/>
      <c r="N71" s="155"/>
    </row>
    <row r="72" spans="1:14" x14ac:dyDescent="0.25">
      <c r="A72" s="155"/>
      <c r="B72" s="155"/>
      <c r="C72" s="155"/>
      <c r="D72" s="155"/>
      <c r="E72" s="155"/>
      <c r="F72" s="155"/>
      <c r="G72" s="155"/>
      <c r="H72" s="155"/>
      <c r="I72" s="155"/>
      <c r="J72" s="155"/>
      <c r="K72" s="155"/>
      <c r="L72" s="155"/>
      <c r="M72" s="155"/>
      <c r="N72" s="155"/>
    </row>
    <row r="73" spans="1:14" x14ac:dyDescent="0.25">
      <c r="A73" s="155"/>
      <c r="B73" s="155"/>
      <c r="C73" s="155"/>
      <c r="D73" s="155"/>
      <c r="E73" s="155"/>
      <c r="F73" s="155"/>
      <c r="G73" s="155"/>
      <c r="H73" s="155"/>
      <c r="I73" s="155"/>
      <c r="J73" s="155"/>
      <c r="K73" s="155"/>
      <c r="L73" s="155"/>
      <c r="M73" s="155"/>
      <c r="N73" s="155"/>
    </row>
    <row r="74" spans="1:14" x14ac:dyDescent="0.25">
      <c r="A74" s="155"/>
      <c r="B74" s="155"/>
      <c r="C74" s="155"/>
      <c r="D74" s="155"/>
      <c r="E74" s="155"/>
      <c r="F74" s="155"/>
      <c r="G74" s="155"/>
      <c r="H74" s="155"/>
      <c r="I74" s="155"/>
      <c r="J74" s="155"/>
      <c r="K74" s="155"/>
      <c r="L74" s="155"/>
      <c r="M74" s="155"/>
      <c r="N74" s="155"/>
    </row>
    <row r="75" spans="1:14" x14ac:dyDescent="0.25">
      <c r="A75" s="155"/>
      <c r="B75" s="155"/>
      <c r="C75" s="155"/>
      <c r="D75" s="155"/>
      <c r="E75" s="155"/>
      <c r="F75" s="155"/>
      <c r="G75" s="155"/>
      <c r="H75" s="155"/>
      <c r="I75" s="155"/>
      <c r="J75" s="155"/>
      <c r="K75" s="155"/>
      <c r="L75" s="155"/>
      <c r="M75" s="155"/>
      <c r="N75" s="155"/>
    </row>
    <row r="76" spans="1:14" x14ac:dyDescent="0.25">
      <c r="A76" s="155"/>
      <c r="B76" s="155"/>
      <c r="C76" s="155"/>
      <c r="D76" s="155"/>
      <c r="E76" s="155"/>
      <c r="F76" s="155"/>
      <c r="G76" s="155"/>
      <c r="H76" s="155"/>
      <c r="I76" s="155"/>
      <c r="J76" s="155"/>
      <c r="K76" s="155"/>
      <c r="L76" s="155"/>
      <c r="M76" s="155"/>
      <c r="N76" s="155"/>
    </row>
    <row r="77" spans="1:14" x14ac:dyDescent="0.25">
      <c r="A77" s="155"/>
      <c r="B77" s="155"/>
      <c r="C77" s="155"/>
      <c r="D77" s="155"/>
      <c r="E77" s="155"/>
      <c r="F77" s="155"/>
      <c r="G77" s="155"/>
      <c r="H77" s="155"/>
      <c r="I77" s="155"/>
      <c r="J77" s="155"/>
      <c r="K77" s="155"/>
      <c r="L77" s="155"/>
      <c r="M77" s="155"/>
      <c r="N77" s="155"/>
    </row>
    <row r="78" spans="1:14" x14ac:dyDescent="0.25">
      <c r="A78" s="155"/>
      <c r="B78" s="155"/>
      <c r="C78" s="155"/>
      <c r="D78" s="155"/>
      <c r="E78" s="155"/>
      <c r="F78" s="155"/>
      <c r="G78" s="155"/>
      <c r="H78" s="155"/>
      <c r="I78" s="155"/>
      <c r="J78" s="155"/>
      <c r="K78" s="155"/>
      <c r="L78" s="155"/>
      <c r="M78" s="155"/>
      <c r="N78" s="155"/>
    </row>
    <row r="79" spans="1:14" x14ac:dyDescent="0.25">
      <c r="A79" s="155"/>
      <c r="B79" s="155"/>
      <c r="C79" s="155"/>
      <c r="D79" s="155"/>
      <c r="E79" s="155"/>
      <c r="F79" s="155"/>
      <c r="G79" s="155"/>
      <c r="H79" s="155"/>
      <c r="I79" s="155"/>
      <c r="J79" s="155"/>
      <c r="K79" s="155"/>
      <c r="L79" s="155"/>
      <c r="M79" s="155"/>
      <c r="N79" s="155"/>
    </row>
    <row r="80" spans="1:14" x14ac:dyDescent="0.25">
      <c r="A80" s="155"/>
      <c r="B80" s="155"/>
      <c r="C80" s="155"/>
      <c r="D80" s="155"/>
      <c r="E80" s="155"/>
      <c r="F80" s="155"/>
      <c r="G80" s="155"/>
      <c r="H80" s="155"/>
      <c r="I80" s="155"/>
      <c r="J80" s="155"/>
      <c r="K80" s="155"/>
      <c r="L80" s="155"/>
      <c r="M80" s="155"/>
      <c r="N80" s="155"/>
    </row>
    <row r="81" spans="1:14" x14ac:dyDescent="0.25">
      <c r="A81" s="155"/>
      <c r="B81" s="155"/>
      <c r="C81" s="155"/>
      <c r="D81" s="155"/>
      <c r="E81" s="155"/>
      <c r="F81" s="155"/>
      <c r="G81" s="155"/>
      <c r="H81" s="155"/>
      <c r="I81" s="155"/>
      <c r="J81" s="155"/>
      <c r="K81" s="155"/>
      <c r="L81" s="155"/>
      <c r="M81" s="155"/>
      <c r="N81" s="155"/>
    </row>
    <row r="82" spans="1:14" x14ac:dyDescent="0.25">
      <c r="B82" s="155"/>
      <c r="D82" s="155"/>
      <c r="F82" s="155"/>
      <c r="G82" s="155"/>
      <c r="H82" s="155"/>
      <c r="I82" s="155"/>
      <c r="J82" s="155"/>
      <c r="K82" s="155"/>
      <c r="L82" s="155"/>
      <c r="M82" s="155"/>
      <c r="N82" s="155"/>
    </row>
    <row r="83" spans="1:14" x14ac:dyDescent="0.25">
      <c r="A83" s="155"/>
      <c r="B83" s="155"/>
      <c r="C83" s="155"/>
      <c r="D83" s="155"/>
      <c r="E83" s="155"/>
      <c r="F83" s="155"/>
      <c r="G83" s="155"/>
      <c r="H83" s="155"/>
      <c r="I83" s="155"/>
      <c r="J83" s="155"/>
      <c r="K83" s="155"/>
      <c r="L83" s="155"/>
      <c r="M83" s="155"/>
      <c r="N83" s="155"/>
    </row>
    <row r="84" spans="1:14" x14ac:dyDescent="0.25">
      <c r="A84" s="155"/>
      <c r="B84" s="155"/>
      <c r="C84" s="155"/>
      <c r="D84" s="155"/>
      <c r="E84" s="155"/>
      <c r="F84" s="155"/>
      <c r="G84" s="155"/>
      <c r="H84" s="155"/>
      <c r="I84" s="155"/>
      <c r="J84" s="155"/>
      <c r="K84" s="155"/>
      <c r="L84" s="155"/>
      <c r="M84" s="155"/>
      <c r="N84" s="155"/>
    </row>
    <row r="85" spans="1:14" x14ac:dyDescent="0.25">
      <c r="A85" s="155"/>
      <c r="B85" s="155"/>
      <c r="C85" s="155"/>
      <c r="D85" s="155"/>
      <c r="E85" s="155"/>
      <c r="F85" s="155"/>
      <c r="G85" s="155"/>
      <c r="H85" s="155"/>
      <c r="I85" s="155"/>
      <c r="J85" s="155"/>
      <c r="K85" s="155"/>
      <c r="L85" s="155"/>
      <c r="M85" s="155"/>
      <c r="N85" s="155"/>
    </row>
    <row r="86" spans="1:14" ht="18.75" x14ac:dyDescent="0.3">
      <c r="A86" s="216" t="str">
        <f>'2. Inputs and results'!B19</f>
        <v xml:space="preserve">Ventilation system with heat recovery </v>
      </c>
      <c r="B86" s="155"/>
      <c r="C86" s="155"/>
      <c r="D86" s="155"/>
      <c r="E86" s="216" t="str">
        <f>'2. Inputs and results'!C19</f>
        <v>Geothermal heat pump system</v>
      </c>
      <c r="F86" s="155"/>
      <c r="G86" s="155"/>
      <c r="H86" s="155"/>
      <c r="I86" s="155"/>
      <c r="J86" s="155"/>
      <c r="K86" s="155"/>
      <c r="L86" s="155"/>
      <c r="M86" s="155"/>
      <c r="N86" s="155"/>
    </row>
    <row r="87" spans="1:14" x14ac:dyDescent="0.25">
      <c r="A87" s="155"/>
      <c r="B87" s="155"/>
      <c r="C87" s="155"/>
      <c r="D87" s="155"/>
      <c r="E87" s="155"/>
      <c r="F87" s="155"/>
      <c r="G87" s="155"/>
      <c r="H87" s="155"/>
      <c r="I87" s="155"/>
      <c r="J87" s="155"/>
      <c r="K87" s="155"/>
      <c r="L87" s="155"/>
      <c r="M87" s="155"/>
      <c r="N87" s="155"/>
    </row>
    <row r="88" spans="1:14" x14ac:dyDescent="0.25">
      <c r="A88" s="155"/>
      <c r="B88" s="155"/>
      <c r="C88" s="155"/>
      <c r="D88" s="155"/>
      <c r="E88" s="155"/>
      <c r="F88" s="155"/>
      <c r="G88" s="155"/>
      <c r="H88" s="155"/>
      <c r="I88" s="155"/>
      <c r="J88" s="155"/>
      <c r="K88" s="155"/>
      <c r="L88" s="155"/>
      <c r="M88" s="155"/>
      <c r="N88" s="155"/>
    </row>
    <row r="89" spans="1:14" x14ac:dyDescent="0.25">
      <c r="A89" s="155"/>
      <c r="B89" s="155"/>
      <c r="C89" s="155"/>
      <c r="D89" s="155"/>
      <c r="E89" s="155"/>
      <c r="F89" s="155"/>
      <c r="G89" s="155"/>
      <c r="H89" s="155"/>
      <c r="I89" s="155"/>
      <c r="J89" s="155"/>
      <c r="K89" s="155"/>
      <c r="L89" s="155"/>
      <c r="M89" s="155"/>
      <c r="N89" s="155"/>
    </row>
    <row r="90" spans="1:14" x14ac:dyDescent="0.25">
      <c r="A90" s="155"/>
      <c r="B90" s="155"/>
      <c r="C90" s="155"/>
      <c r="D90" s="155"/>
      <c r="E90" s="155"/>
      <c r="F90" s="155"/>
      <c r="G90" s="155"/>
      <c r="H90" s="155"/>
      <c r="I90" s="155"/>
      <c r="J90" s="155"/>
      <c r="K90" s="155"/>
      <c r="L90" s="155"/>
      <c r="M90" s="155"/>
      <c r="N90" s="155"/>
    </row>
    <row r="91" spans="1:14" x14ac:dyDescent="0.25">
      <c r="A91" s="155"/>
      <c r="B91" s="155"/>
      <c r="C91" s="155"/>
      <c r="D91" s="155"/>
      <c r="E91" s="155"/>
      <c r="F91" s="155"/>
      <c r="G91" s="155"/>
      <c r="H91" s="155"/>
      <c r="I91" s="155"/>
      <c r="J91" s="155"/>
      <c r="K91" s="155"/>
      <c r="L91" s="155"/>
      <c r="M91" s="155"/>
      <c r="N91" s="155"/>
    </row>
    <row r="92" spans="1:14" x14ac:dyDescent="0.25">
      <c r="A92" s="155"/>
      <c r="B92" s="155"/>
      <c r="C92" s="155"/>
      <c r="D92" s="155"/>
      <c r="E92" s="155"/>
      <c r="F92" s="155"/>
      <c r="G92" s="155"/>
      <c r="H92" s="155"/>
      <c r="I92" s="155"/>
      <c r="J92" s="155"/>
      <c r="K92" s="155"/>
      <c r="L92" s="155"/>
      <c r="M92" s="155"/>
      <c r="N92" s="155"/>
    </row>
    <row r="93" spans="1:14" x14ac:dyDescent="0.25">
      <c r="A93" s="155"/>
      <c r="B93" s="155"/>
      <c r="C93" s="155"/>
      <c r="D93" s="155"/>
      <c r="E93" s="155"/>
      <c r="F93" s="155"/>
      <c r="G93" s="155"/>
      <c r="H93" s="155"/>
      <c r="I93" s="155"/>
      <c r="J93" s="155"/>
      <c r="K93" s="155"/>
      <c r="L93" s="155"/>
      <c r="M93" s="155"/>
      <c r="N93" s="155"/>
    </row>
    <row r="94" spans="1:14" x14ac:dyDescent="0.25">
      <c r="A94" s="155"/>
      <c r="B94" s="155"/>
      <c r="C94" s="155"/>
      <c r="D94" s="155"/>
      <c r="E94" s="155"/>
      <c r="F94" s="155"/>
      <c r="G94" s="155"/>
      <c r="H94" s="155"/>
      <c r="I94" s="155"/>
      <c r="J94" s="155"/>
      <c r="K94" s="155"/>
      <c r="L94" s="155"/>
      <c r="M94" s="155"/>
      <c r="N94" s="155"/>
    </row>
    <row r="95" spans="1:14" x14ac:dyDescent="0.25">
      <c r="A95" s="155"/>
      <c r="B95" s="155"/>
      <c r="C95" s="155"/>
      <c r="D95" s="155"/>
      <c r="E95" s="155"/>
      <c r="F95" s="155"/>
      <c r="G95" s="155"/>
      <c r="H95" s="155"/>
      <c r="I95" s="155"/>
      <c r="J95" s="155"/>
      <c r="K95" s="155"/>
      <c r="L95" s="155"/>
      <c r="M95" s="155"/>
      <c r="N95" s="155"/>
    </row>
    <row r="96" spans="1:14" x14ac:dyDescent="0.25">
      <c r="A96" s="155"/>
      <c r="B96" s="155"/>
      <c r="C96" s="155"/>
      <c r="D96" s="155"/>
      <c r="E96" s="155"/>
      <c r="F96" s="155"/>
      <c r="G96" s="155"/>
      <c r="H96" s="155"/>
      <c r="I96" s="155"/>
      <c r="J96" s="155"/>
      <c r="K96" s="155"/>
      <c r="L96" s="155"/>
      <c r="M96" s="155"/>
      <c r="N96" s="155"/>
    </row>
    <row r="97" spans="1:14" x14ac:dyDescent="0.25">
      <c r="A97" s="155"/>
      <c r="B97" s="155"/>
      <c r="C97" s="155"/>
      <c r="D97" s="155"/>
      <c r="E97" s="155"/>
      <c r="F97" s="155"/>
      <c r="G97" s="155"/>
      <c r="H97" s="155"/>
      <c r="I97" s="155"/>
      <c r="J97" s="155"/>
      <c r="K97" s="155"/>
      <c r="L97" s="155"/>
      <c r="M97" s="155"/>
      <c r="N97" s="155"/>
    </row>
    <row r="98" spans="1:14" x14ac:dyDescent="0.25">
      <c r="A98" s="155"/>
      <c r="B98" s="155"/>
      <c r="C98" s="155"/>
      <c r="D98" s="155"/>
      <c r="E98" s="155"/>
      <c r="F98" s="155"/>
      <c r="G98" s="155"/>
      <c r="H98" s="155"/>
      <c r="I98" s="155"/>
      <c r="J98" s="155"/>
      <c r="K98" s="155"/>
      <c r="L98" s="155"/>
      <c r="M98" s="155"/>
      <c r="N98" s="155"/>
    </row>
    <row r="99" spans="1:14" x14ac:dyDescent="0.25">
      <c r="A99" s="155"/>
      <c r="B99" s="155"/>
      <c r="C99" s="155"/>
      <c r="D99" s="155"/>
      <c r="E99" s="155"/>
      <c r="F99" s="155"/>
      <c r="G99" s="155"/>
      <c r="H99" s="155"/>
      <c r="I99" s="155"/>
      <c r="J99" s="155"/>
      <c r="K99" s="155"/>
      <c r="L99" s="155"/>
      <c r="M99" s="155"/>
      <c r="N99" s="155"/>
    </row>
    <row r="100" spans="1:14" x14ac:dyDescent="0.25">
      <c r="A100" s="155"/>
      <c r="B100" s="155"/>
      <c r="C100" s="155"/>
      <c r="D100" s="155"/>
      <c r="E100" s="155"/>
      <c r="F100" s="155"/>
      <c r="G100" s="155"/>
      <c r="H100" s="155"/>
      <c r="I100" s="155"/>
      <c r="J100" s="155"/>
      <c r="K100" s="155"/>
      <c r="L100" s="155"/>
      <c r="M100" s="155"/>
      <c r="N100" s="155"/>
    </row>
    <row r="101" spans="1:14" x14ac:dyDescent="0.25">
      <c r="A101" s="155"/>
      <c r="B101" s="155"/>
      <c r="C101" s="155"/>
      <c r="D101" s="155"/>
      <c r="E101" s="155"/>
      <c r="F101" s="155"/>
      <c r="G101" s="155"/>
      <c r="H101" s="155"/>
      <c r="I101" s="155"/>
      <c r="J101" s="155"/>
      <c r="K101" s="155"/>
      <c r="L101" s="155"/>
      <c r="M101" s="155"/>
      <c r="N101" s="155"/>
    </row>
    <row r="102" spans="1:14" x14ac:dyDescent="0.25">
      <c r="A102" s="155"/>
      <c r="B102" s="155"/>
      <c r="C102" s="155"/>
      <c r="D102" s="155"/>
      <c r="E102" s="155"/>
      <c r="F102" s="155"/>
      <c r="G102" s="155"/>
      <c r="H102" s="155"/>
      <c r="I102" s="155"/>
      <c r="J102" s="155"/>
      <c r="K102" s="155"/>
      <c r="L102" s="155"/>
      <c r="M102" s="155"/>
      <c r="N102" s="155"/>
    </row>
    <row r="103" spans="1:14" x14ac:dyDescent="0.25">
      <c r="A103" s="155"/>
      <c r="B103" s="155"/>
      <c r="C103" s="155"/>
      <c r="D103" s="155"/>
      <c r="E103" s="155"/>
      <c r="F103" s="155"/>
      <c r="G103" s="155"/>
      <c r="H103" s="155"/>
      <c r="I103" s="155"/>
      <c r="J103" s="155"/>
      <c r="K103" s="155"/>
      <c r="L103" s="155"/>
      <c r="M103" s="155"/>
      <c r="N103" s="155"/>
    </row>
    <row r="104" spans="1:14" x14ac:dyDescent="0.25">
      <c r="A104" s="155"/>
      <c r="B104" s="155"/>
      <c r="C104" s="155"/>
      <c r="D104" s="155"/>
      <c r="E104" s="155"/>
      <c r="F104" s="155"/>
      <c r="G104" s="155"/>
      <c r="H104" s="155"/>
      <c r="I104" s="155"/>
      <c r="J104" s="155"/>
      <c r="K104" s="155"/>
      <c r="L104" s="155"/>
      <c r="M104" s="155"/>
      <c r="N104" s="155"/>
    </row>
    <row r="105" spans="1:14" x14ac:dyDescent="0.25">
      <c r="A105" s="155"/>
      <c r="B105" s="155"/>
      <c r="C105" s="155"/>
      <c r="D105" s="155"/>
      <c r="E105" s="155"/>
      <c r="F105" s="155"/>
      <c r="G105" s="155"/>
      <c r="H105" s="155"/>
      <c r="I105" s="155"/>
      <c r="J105" s="155"/>
      <c r="K105" s="155"/>
      <c r="L105" s="155"/>
      <c r="M105" s="155"/>
      <c r="N105" s="155"/>
    </row>
    <row r="106" spans="1:14" x14ac:dyDescent="0.25">
      <c r="A106" s="155"/>
      <c r="B106" s="155"/>
      <c r="C106" s="155"/>
      <c r="D106" s="155"/>
      <c r="E106" s="155"/>
      <c r="F106" s="155"/>
      <c r="G106" s="155"/>
      <c r="H106" s="155"/>
      <c r="I106" s="155"/>
      <c r="J106" s="155"/>
      <c r="K106" s="155"/>
      <c r="L106" s="155"/>
      <c r="M106" s="155"/>
      <c r="N106" s="155"/>
    </row>
    <row r="107" spans="1:14" x14ac:dyDescent="0.25">
      <c r="A107" s="155"/>
      <c r="B107" s="155"/>
      <c r="C107" s="155"/>
      <c r="D107" s="155"/>
      <c r="E107" s="155"/>
      <c r="F107" s="155"/>
      <c r="G107" s="155"/>
      <c r="H107" s="155"/>
      <c r="I107" s="155"/>
      <c r="J107" s="155"/>
      <c r="K107" s="155"/>
      <c r="L107" s="155"/>
      <c r="M107" s="155"/>
      <c r="N107" s="155"/>
    </row>
    <row r="108" spans="1:14" x14ac:dyDescent="0.25">
      <c r="A108" s="155"/>
      <c r="B108" s="155"/>
      <c r="C108" s="155"/>
      <c r="D108" s="155"/>
      <c r="E108" s="155"/>
      <c r="F108" s="155"/>
      <c r="G108" s="155"/>
      <c r="H108" s="155"/>
      <c r="I108" s="155"/>
      <c r="J108" s="155"/>
      <c r="K108" s="155"/>
      <c r="L108" s="155"/>
      <c r="M108" s="155"/>
      <c r="N108" s="155"/>
    </row>
    <row r="109" spans="1:14" x14ac:dyDescent="0.25">
      <c r="A109" s="155"/>
      <c r="B109" s="155"/>
      <c r="C109" s="155"/>
      <c r="D109" s="155"/>
      <c r="E109" s="155"/>
      <c r="F109" s="155"/>
      <c r="G109" s="155"/>
      <c r="H109" s="155"/>
      <c r="I109" s="155"/>
      <c r="J109" s="155"/>
      <c r="K109" s="155"/>
      <c r="L109" s="155"/>
      <c r="M109" s="155"/>
      <c r="N109" s="155"/>
    </row>
    <row r="110" spans="1:14" x14ac:dyDescent="0.25">
      <c r="A110" s="155"/>
      <c r="B110" s="155"/>
      <c r="C110" s="155"/>
      <c r="D110" s="155"/>
      <c r="E110" s="155"/>
      <c r="F110" s="155"/>
      <c r="G110" s="155"/>
      <c r="H110" s="155"/>
      <c r="I110" s="155"/>
      <c r="J110" s="155"/>
      <c r="K110" s="155"/>
      <c r="L110" s="155"/>
      <c r="M110" s="155"/>
      <c r="N110" s="155"/>
    </row>
    <row r="111" spans="1:14" x14ac:dyDescent="0.25">
      <c r="A111" s="155"/>
      <c r="B111" s="155"/>
      <c r="C111" s="155"/>
      <c r="D111" s="155"/>
      <c r="E111" s="155"/>
      <c r="F111" s="155"/>
      <c r="G111" s="155"/>
      <c r="H111" s="155"/>
      <c r="I111" s="155"/>
      <c r="J111" s="155"/>
      <c r="K111" s="155"/>
      <c r="L111" s="155"/>
      <c r="M111" s="155"/>
      <c r="N111" s="155"/>
    </row>
  </sheetData>
  <sheetProtection sheet="1" objects="1" scenarios="1"/>
  <pageMargins left="0.7" right="0.7" top="0.75" bottom="0.75" header="0.3" footer="0.3"/>
  <pageSetup paperSize="9" scale="59" fitToHeight="0" orientation="portrait" r:id="rId1"/>
  <rowBreaks count="1" manualBreakCount="1">
    <brk id="54"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7">
    <pageSetUpPr fitToPage="1"/>
  </sheetPr>
  <dimension ref="A1:Q63"/>
  <sheetViews>
    <sheetView zoomScaleNormal="100" workbookViewId="0">
      <selection activeCell="G1" sqref="G1"/>
    </sheetView>
  </sheetViews>
  <sheetFormatPr defaultRowHeight="15" x14ac:dyDescent="0.25"/>
  <cols>
    <col min="1" max="1" width="37.42578125" customWidth="1"/>
    <col min="2" max="2" width="38.140625" customWidth="1"/>
    <col min="3" max="3" width="9.140625" customWidth="1"/>
    <col min="4" max="4" width="9.28515625" customWidth="1"/>
    <col min="5" max="5" width="6.5703125" customWidth="1"/>
    <col min="6" max="6" width="34.7109375" customWidth="1"/>
    <col min="7" max="7" width="30.140625" customWidth="1"/>
    <col min="8" max="8" width="45.28515625" customWidth="1"/>
    <col min="9" max="9" width="45.7109375" customWidth="1"/>
    <col min="10" max="10" width="44.7109375" customWidth="1"/>
    <col min="11" max="11" width="45.140625" customWidth="1"/>
    <col min="12" max="12" width="19.7109375" hidden="1" customWidth="1"/>
    <col min="13" max="13" width="19.85546875" style="30" hidden="1" customWidth="1"/>
    <col min="14" max="14" width="13.5703125" style="24" hidden="1" customWidth="1"/>
    <col min="15" max="15" width="12.140625" style="24" hidden="1" customWidth="1"/>
    <col min="16" max="16" width="15.140625" hidden="1" customWidth="1"/>
    <col min="17" max="17" width="14.85546875" style="24" hidden="1" customWidth="1"/>
    <col min="18" max="18" width="8.7109375" customWidth="1"/>
  </cols>
  <sheetData>
    <row r="1" spans="1:17" s="39" customFormat="1" ht="78.75" customHeight="1" thickBot="1" x14ac:dyDescent="0.45">
      <c r="D1" s="306" t="s">
        <v>306</v>
      </c>
      <c r="M1" s="30"/>
      <c r="N1" s="24"/>
      <c r="O1" s="24"/>
      <c r="Q1" s="24"/>
    </row>
    <row r="2" spans="1:17" s="39" customFormat="1" ht="15.75" thickBot="1" x14ac:dyDescent="0.3">
      <c r="A2" s="279" t="s">
        <v>150</v>
      </c>
      <c r="B2" s="61" t="str">
        <f>'2. Inputs and results'!B5</f>
        <v>Building</v>
      </c>
      <c r="M2" s="30"/>
      <c r="N2" s="24"/>
      <c r="O2" s="24"/>
      <c r="Q2" s="24"/>
    </row>
    <row r="3" spans="1:17" s="39" customFormat="1" ht="15.75" thickBot="1" x14ac:dyDescent="0.3">
      <c r="A3" s="282"/>
      <c r="B3" s="284"/>
      <c r="M3" s="30"/>
      <c r="N3" s="24"/>
      <c r="O3" s="24"/>
      <c r="Q3" s="24"/>
    </row>
    <row r="4" spans="1:17" s="39" customFormat="1" ht="15.75" thickBot="1" x14ac:dyDescent="0.3">
      <c r="A4" s="280" t="s">
        <v>139</v>
      </c>
      <c r="B4" s="62" t="str">
        <f>'2. Inputs and results'!B6</f>
        <v>Housing/ Residential building</v>
      </c>
      <c r="M4" s="30"/>
      <c r="N4" s="24"/>
      <c r="O4" s="24"/>
      <c r="Q4" s="24"/>
    </row>
    <row r="5" spans="1:17" s="39" customFormat="1" ht="15.75" thickBot="1" x14ac:dyDescent="0.3">
      <c r="A5" s="282"/>
      <c r="B5" s="284"/>
      <c r="M5" s="30"/>
      <c r="N5" s="24"/>
      <c r="O5" s="24"/>
      <c r="Q5" s="24"/>
    </row>
    <row r="6" spans="1:17" s="39" customFormat="1" ht="15.75" thickBot="1" x14ac:dyDescent="0.3">
      <c r="A6" s="282" t="s">
        <v>54</v>
      </c>
      <c r="B6" s="283" t="str">
        <f>'2. Inputs and results'!B8</f>
        <v>District heating</v>
      </c>
      <c r="M6" s="30"/>
      <c r="N6" s="24"/>
      <c r="O6" s="24"/>
      <c r="Q6" s="24"/>
    </row>
    <row r="7" spans="1:17" s="39" customFormat="1" ht="15.75" thickBot="1" x14ac:dyDescent="0.3">
      <c r="A7" s="282" t="s">
        <v>93</v>
      </c>
      <c r="B7" s="283" t="str">
        <f>'2. Inputs and results'!B9</f>
        <v>Other</v>
      </c>
      <c r="M7" s="30"/>
      <c r="N7" s="24"/>
      <c r="O7" s="24"/>
      <c r="Q7" s="24"/>
    </row>
    <row r="8" spans="1:17" s="39" customFormat="1" ht="15.75" thickBot="1" x14ac:dyDescent="0.3">
      <c r="A8" s="282" t="s">
        <v>104</v>
      </c>
      <c r="B8" s="283" t="str">
        <f>'2. Inputs and results'!B10</f>
        <v>None</v>
      </c>
      <c r="M8" s="30"/>
      <c r="N8" s="24"/>
      <c r="O8" s="24"/>
      <c r="Q8" s="24"/>
    </row>
    <row r="9" spans="1:17" ht="41.25" customHeight="1" x14ac:dyDescent="0.25">
      <c r="C9" s="285"/>
      <c r="D9" s="285"/>
      <c r="E9" s="285"/>
      <c r="F9" s="286" t="s">
        <v>138</v>
      </c>
      <c r="G9" s="286" t="s">
        <v>111</v>
      </c>
      <c r="H9" s="286" t="s">
        <v>220</v>
      </c>
      <c r="I9" s="286" t="s">
        <v>219</v>
      </c>
      <c r="J9" s="286" t="s">
        <v>218</v>
      </c>
      <c r="K9" s="286" t="s">
        <v>217</v>
      </c>
    </row>
    <row r="10" spans="1:17" x14ac:dyDescent="0.25">
      <c r="C10" s="286" t="s">
        <v>116</v>
      </c>
      <c r="D10" s="286" t="s">
        <v>117</v>
      </c>
      <c r="E10" s="286" t="str">
        <f>'7. Change of CO2 emissions'!E12</f>
        <v>Year</v>
      </c>
      <c r="F10" s="286" t="str">
        <f>'2. Inputs and results'!B19</f>
        <v xml:space="preserve">Ventilation system with heat recovery </v>
      </c>
      <c r="G10" s="286" t="str">
        <f>'2. Inputs and results'!C19</f>
        <v>Geothermal heat pump system</v>
      </c>
      <c r="H10" s="286" t="str">
        <f>'2. Inputs and results'!B19</f>
        <v xml:space="preserve">Ventilation system with heat recovery </v>
      </c>
      <c r="I10" s="286" t="str">
        <f>'2. Inputs and results'!C19</f>
        <v>Geothermal heat pump system</v>
      </c>
      <c r="J10" s="286" t="str">
        <f>'2. Inputs and results'!B19</f>
        <v xml:space="preserve">Ventilation system with heat recovery </v>
      </c>
      <c r="K10" s="286" t="str">
        <f>'2. Inputs and results'!C19</f>
        <v>Geothermal heat pump system</v>
      </c>
      <c r="L10" t="s">
        <v>78</v>
      </c>
      <c r="M10" s="30" t="s">
        <v>80</v>
      </c>
      <c r="N10" s="41" t="s">
        <v>89</v>
      </c>
      <c r="O10" s="24" t="s">
        <v>87</v>
      </c>
      <c r="P10" s="37" t="s">
        <v>89</v>
      </c>
      <c r="Q10" s="24" t="s">
        <v>87</v>
      </c>
    </row>
    <row r="11" spans="1:17" x14ac:dyDescent="0.25">
      <c r="C11" s="285"/>
      <c r="D11" s="285"/>
      <c r="E11" s="285"/>
      <c r="F11" s="285"/>
      <c r="G11" s="285"/>
      <c r="H11" s="286"/>
      <c r="I11" s="286"/>
      <c r="J11" s="286"/>
      <c r="K11" s="286"/>
      <c r="N11" s="24" t="s">
        <v>88</v>
      </c>
      <c r="O11" s="24" t="s">
        <v>83</v>
      </c>
      <c r="P11" s="27" t="s">
        <v>88</v>
      </c>
      <c r="Q11" s="24" t="s">
        <v>141</v>
      </c>
    </row>
    <row r="12" spans="1:17" x14ac:dyDescent="0.25">
      <c r="C12" s="285">
        <f>'Solution 1, (hidden)'!B5</f>
        <v>0</v>
      </c>
      <c r="D12" s="285">
        <f>'Solution  2, (hidden)'!B5</f>
        <v>0</v>
      </c>
      <c r="E12" s="285">
        <f>IF('2. Inputs and results'!$C$21&gt;='2. Inputs and results'!$B$21,'Solution  2, (hidden)'!B5,'Solution 1, (hidden)'!B5)</f>
        <v>0</v>
      </c>
      <c r="F12" s="287">
        <f>'Solution 1, (hidden)'!W5</f>
        <v>-156400</v>
      </c>
      <c r="G12" s="287">
        <f>'Solution  2, (hidden)'!W5</f>
        <v>-212500</v>
      </c>
      <c r="H12" s="287">
        <f>'Solution 1, (hidden)'!R5</f>
        <v>-156400</v>
      </c>
      <c r="I12" s="287">
        <f>'Solution  2, (hidden)'!R5</f>
        <v>-212500</v>
      </c>
      <c r="J12" s="287">
        <f>'Solution 1, (hidden) (2)'!R5</f>
        <v>-156400</v>
      </c>
      <c r="K12" s="287">
        <f>'Solution  2, (hidden) (2)'!R5</f>
        <v>-212500</v>
      </c>
      <c r="L12" s="30">
        <f>'Solution 1, (hidden)'!Z5</f>
        <v>-156400</v>
      </c>
      <c r="M12" s="30">
        <f>'Solution  2, (hidden)'!U5</f>
        <v>-212500</v>
      </c>
      <c r="N12" s="24">
        <f>'Solution 1, (hidden)'!U5</f>
        <v>-156400</v>
      </c>
      <c r="O12" s="24">
        <f>'Solution  2, (hidden)'!U5</f>
        <v>-212500</v>
      </c>
      <c r="P12" s="5">
        <f>'Solution 1, (hidden) (2)'!U5</f>
        <v>-156400</v>
      </c>
      <c r="Q12" s="24">
        <f>'Solution  2, (hidden) (2)'!U5</f>
        <v>-212500</v>
      </c>
    </row>
    <row r="13" spans="1:17" x14ac:dyDescent="0.25">
      <c r="C13" s="285">
        <f>'Solution 1, (hidden)'!B6</f>
        <v>1</v>
      </c>
      <c r="D13" s="285">
        <f>'Solution  2, (hidden)'!B6</f>
        <v>1</v>
      </c>
      <c r="E13" s="285">
        <f>IF('2. Inputs and results'!$C$21&gt;='2. Inputs and results'!$B$21,'Solution  2, (hidden)'!B6,'Solution 1, (hidden)'!B6)</f>
        <v>1</v>
      </c>
      <c r="F13" s="287">
        <f>'Solution 1, (hidden)'!W6</f>
        <v>-149908</v>
      </c>
      <c r="G13" s="287">
        <f>'Solution  2, (hidden)'!W6</f>
        <v>-194650</v>
      </c>
      <c r="H13" s="287">
        <f>'Solution 1, (hidden)'!R6</f>
        <v>-149908</v>
      </c>
      <c r="I13" s="287">
        <f>'Solution  2, (hidden)'!R6</f>
        <v>-194650</v>
      </c>
      <c r="J13" s="287">
        <f>'Solution 1, (hidden) (2)'!R6</f>
        <v>-149908</v>
      </c>
      <c r="K13" s="287">
        <f>'Solution  2, (hidden) (2)'!R6</f>
        <v>-194650</v>
      </c>
      <c r="L13" s="30">
        <f>IF('4. Cash flow '!E13&lt;('2. Inputs and results'!$B$21+1),'Solution 1, (hidden)'!C6-'Solution 1, (hidden)'!M6," ")</f>
        <v>9620</v>
      </c>
      <c r="M13" s="30">
        <f>IF(E13&lt;('2. Inputs and results'!$C$21+1),'Solution  2, (hidden)'!C6-'Solution  2, (hidden)'!M6," ")</f>
        <v>22100</v>
      </c>
      <c r="N13" s="24">
        <f>IF('4. Cash flow '!E13&lt;('2. Inputs and results'!$B$21+1),'Solution 1, (hidden)'!G6+'Solution 1, (hidden)'!I6+'Solution 1, (hidden)'!H6+'Solution 1, (hidden)'!J6-'Solution 1, (hidden)'!M6," ")</f>
        <v>9620</v>
      </c>
      <c r="O13" s="24">
        <f>IF(E13&lt;('2. Inputs and results'!$C$21+1),'Solution  2, (hidden)'!G6+'Solution  2, (hidden)'!I6+'Solution  2, (hidden)'!H6+'Solution  2, (hidden)'!J6-'Solution  2, (hidden)'!M6," ")</f>
        <v>22100</v>
      </c>
      <c r="P13" s="24">
        <f>IF('4. Cash flow '!E13&lt;('2. Inputs and results'!$B$21+1),'Solution 1, (hidden) (2)'!G6+'Solution 1, (hidden) (2)'!I6+'Solution 1, (hidden) (2)'!H6+'Solution 1, (hidden) (2)'!J6-'Solution 1, (hidden) (2)'!M6," ")</f>
        <v>9620</v>
      </c>
      <c r="Q13" s="24">
        <f>IF(E13&lt;('2. Inputs and results'!$C$21+1),'Solution  2, (hidden) (2)'!G6+'Solution  2, (hidden) (2)'!I6+'Solution  2, (hidden) (2)'!H6+'Solution  2, (hidden) (2)'!J6-'Solution  2, (hidden) (2)'!M6," ")</f>
        <v>22100</v>
      </c>
    </row>
    <row r="14" spans="1:17" x14ac:dyDescent="0.25">
      <c r="C14" s="285">
        <f>'Solution 1, (hidden)'!B7</f>
        <v>2</v>
      </c>
      <c r="D14" s="285">
        <f>'Solution  2, (hidden)'!B7</f>
        <v>2</v>
      </c>
      <c r="E14" s="285">
        <f>IF('2. Inputs and results'!$C$21&gt;='2. Inputs and results'!$B$21,'Solution  2, (hidden)'!B7,'Solution 1, (hidden)'!B7)</f>
        <v>2</v>
      </c>
      <c r="F14" s="287">
        <f>'Solution 1, (hidden)'!W7</f>
        <v>-143286.16</v>
      </c>
      <c r="G14" s="287">
        <f>'Solution  2, (hidden)'!W7</f>
        <v>-176443</v>
      </c>
      <c r="H14" s="287">
        <f>'Solution 1, (hidden)'!R7</f>
        <v>-142942.36000000002</v>
      </c>
      <c r="I14" s="287">
        <f>'Solution  2, (hidden)'!R7</f>
        <v>-175705</v>
      </c>
      <c r="J14" s="287">
        <f>'Solution 1, (hidden) (2)'!R7</f>
        <v>-142598.56</v>
      </c>
      <c r="K14" s="287">
        <f>'Solution  2, (hidden) (2)'!R7</f>
        <v>-174967</v>
      </c>
      <c r="L14" s="30">
        <f>IF('4. Cash flow '!E14&lt;('2. Inputs and results'!$B$21+1),'Solution 1, (hidden)'!C7-'Solution 1, (hidden)'!M7," ")</f>
        <v>9620</v>
      </c>
      <c r="M14" s="30">
        <f>IF(E14&lt;('2. Inputs and results'!$C$21+1),'Solution  2, (hidden)'!C7-'Solution  2, (hidden)'!M7," ")</f>
        <v>22100</v>
      </c>
      <c r="N14" s="24">
        <f>IF('4. Cash flow '!E14&lt;('2. Inputs and results'!$B$21+1),'Solution 1, (hidden)'!G7+'Solution 1, (hidden)'!I7+'Solution 1, (hidden)'!H7+'Solution 1, (hidden)'!J7-'Solution 1, (hidden)'!M7," ")</f>
        <v>9963.7999999999993</v>
      </c>
      <c r="O14" s="24">
        <f>IF(E14&lt;('2. Inputs and results'!$C$21+1),'Solution  2, (hidden)'!G7+'Solution  2, (hidden)'!I7+'Solution  2, (hidden)'!H7+'Solution  2, (hidden)'!J7-'Solution  2, (hidden)'!M7," ")</f>
        <v>22838</v>
      </c>
      <c r="P14" s="24">
        <f>IF('4. Cash flow '!E14&lt;('2. Inputs and results'!$B$21+1),'Solution 1, (hidden) (2)'!G7+'Solution 1, (hidden) (2)'!I7+'Solution 1, (hidden) (2)'!H7+'Solution 1, (hidden) (2)'!J7-'Solution 1, (hidden) (2)'!M7," ")</f>
        <v>10307.6</v>
      </c>
      <c r="Q14" s="24">
        <f>IF(E14&lt;('2. Inputs and results'!$C$21+1),'Solution  2, (hidden) (2)'!G7+'Solution  2, (hidden) (2)'!I7+'Solution  2, (hidden) (2)'!H7+'Solution  2, (hidden) (2)'!J7-'Solution  2, (hidden) (2)'!M7," ")</f>
        <v>23576</v>
      </c>
    </row>
    <row r="15" spans="1:17" x14ac:dyDescent="0.25">
      <c r="C15" s="285">
        <f>'Solution 1, (hidden)'!B8</f>
        <v>3</v>
      </c>
      <c r="D15" s="285">
        <f>'Solution  2, (hidden)'!B8</f>
        <v>3</v>
      </c>
      <c r="E15" s="285">
        <f>IF('2. Inputs and results'!$C$21&gt;='2. Inputs and results'!$B$21,'Solution  2, (hidden)'!B8,'Solution 1, (hidden)'!B8)</f>
        <v>3</v>
      </c>
      <c r="F15" s="287">
        <f>'Solution 1, (hidden)'!W8</f>
        <v>-136531.88320000001</v>
      </c>
      <c r="G15" s="287">
        <f>'Solution  2, (hidden)'!W8</f>
        <v>-157871.85999999999</v>
      </c>
      <c r="H15" s="287">
        <f>'Solution 1, (hidden)'!R8</f>
        <v>-135483.29320000001</v>
      </c>
      <c r="I15" s="287">
        <f>'Solution  2, (hidden)'!R8</f>
        <v>-155620.96</v>
      </c>
      <c r="J15" s="287">
        <f>'Solution 1, (hidden) (2)'!R8</f>
        <v>-134414.07520000002</v>
      </c>
      <c r="K15" s="287">
        <f>'Solution  2, (hidden) (2)'!R8</f>
        <v>-153325.78</v>
      </c>
      <c r="L15" s="30">
        <f>IF('4. Cash flow '!E15&lt;('2. Inputs and results'!$B$21+1),'Solution 1, (hidden)'!C8-'Solution 1, (hidden)'!M8," ")</f>
        <v>9620</v>
      </c>
      <c r="M15" s="30">
        <f>IF(E15&lt;('2. Inputs and results'!$C$21+1),'Solution  2, (hidden)'!C8-'Solution  2, (hidden)'!M8," ")</f>
        <v>22100</v>
      </c>
      <c r="N15" s="24">
        <f>IF('4. Cash flow '!E15&lt;('2. Inputs and results'!$B$21+1),'Solution 1, (hidden)'!G8+'Solution 1, (hidden)'!I8+'Solution 1, (hidden)'!H8+'Solution 1, (hidden)'!J8-'Solution 1, (hidden)'!M8," ")</f>
        <v>10317.914000000001</v>
      </c>
      <c r="O15" s="24">
        <f>IF(E15&lt;('2. Inputs and results'!$C$21+1),'Solution  2, (hidden)'!G8+'Solution  2, (hidden)'!I8+'Solution  2, (hidden)'!H8+'Solution  2, (hidden)'!J8-'Solution  2, (hidden)'!M8," ")</f>
        <v>23598.14</v>
      </c>
      <c r="P15" s="24">
        <f>IF('4. Cash flow '!E15&lt;('2. Inputs and results'!$B$21+1),'Solution 1, (hidden) (2)'!G8+'Solution 1, (hidden) (2)'!I8+'Solution 1, (hidden) (2)'!H8+'Solution 1, (hidden) (2)'!J8-'Solution 1, (hidden) (2)'!M8," ")</f>
        <v>11036.456</v>
      </c>
      <c r="Q15" s="24">
        <f>IF(E15&lt;('2. Inputs and results'!$C$21+1),'Solution  2, (hidden) (2)'!G8+'Solution  2, (hidden) (2)'!I8+'Solution  2, (hidden) (2)'!H8+'Solution  2, (hidden) (2)'!J8-'Solution  2, (hidden) (2)'!M8," ")</f>
        <v>25140.559999999998</v>
      </c>
    </row>
    <row r="16" spans="1:17" x14ac:dyDescent="0.25">
      <c r="C16" s="285">
        <f>'Solution 1, (hidden)'!B9</f>
        <v>4</v>
      </c>
      <c r="D16" s="285">
        <f>'Solution  2, (hidden)'!B9</f>
        <v>4</v>
      </c>
      <c r="E16" s="285">
        <f>IF('2. Inputs and results'!$C$21&gt;='2. Inputs and results'!$B$21,'Solution  2, (hidden)'!B9,'Solution 1, (hidden)'!B9)</f>
        <v>4</v>
      </c>
      <c r="F16" s="287">
        <f>'Solution 1, (hidden)'!W9</f>
        <v>-129642.52086400001</v>
      </c>
      <c r="G16" s="287">
        <f>'Solution  2, (hidden)'!W9</f>
        <v>-138929.29719999997</v>
      </c>
      <c r="H16" s="287">
        <f>'Solution 1, (hidden)'!R9</f>
        <v>-127510.30764400001</v>
      </c>
      <c r="I16" s="287">
        <f>'Solution  2, (hidden)'!R9</f>
        <v>-134352.29499999998</v>
      </c>
      <c r="J16" s="287">
        <f>'Solution 1, (hidden) (2)'!R9</f>
        <v>-125293.31334400002</v>
      </c>
      <c r="K16" s="287">
        <f>'Solution  2, (hidden) (2)'!R9</f>
        <v>-129593.302</v>
      </c>
      <c r="L16" s="30">
        <f>IF('4. Cash flow '!E16&lt;('2. Inputs and results'!$B$21+1),'Solution 1, (hidden)'!C9-'Solution 1, (hidden)'!M9," ")</f>
        <v>9620</v>
      </c>
      <c r="M16" s="30">
        <f>IF(E16&lt;('2. Inputs and results'!$C$21+1),'Solution  2, (hidden)'!C9-'Solution  2, (hidden)'!M9," ")</f>
        <v>22100</v>
      </c>
      <c r="N16" s="24">
        <f>IF('4. Cash flow '!E16&lt;('2. Inputs and results'!$B$21+1),'Solution 1, (hidden)'!G9+'Solution 1, (hidden)'!I9+'Solution 1, (hidden)'!H9+'Solution 1, (hidden)'!J9-'Solution 1, (hidden)'!M9," ")</f>
        <v>10682.651420000002</v>
      </c>
      <c r="O16" s="24">
        <f>IF(E16&lt;('2. Inputs and results'!$C$21+1),'Solution  2, (hidden)'!G9+'Solution  2, (hidden)'!I9+'Solution  2, (hidden)'!H9+'Solution  2, (hidden)'!J9-'Solution  2, (hidden)'!M9," ")</f>
        <v>24381.084200000001</v>
      </c>
      <c r="P16" s="24">
        <f>IF('4. Cash flow '!E16&lt;('2. Inputs and results'!$B$21+1),'Solution 1, (hidden) (2)'!G9+'Solution 1, (hidden) (2)'!I9+'Solution 1, (hidden) (2)'!H9+'Solution 1, (hidden) (2)'!J9-'Solution 1, (hidden) (2)'!M9," ")</f>
        <v>11809.043360000001</v>
      </c>
      <c r="Q16" s="24">
        <f>IF(E16&lt;('2. Inputs and results'!$C$21+1),'Solution  2, (hidden) (2)'!G9+'Solution  2, (hidden) (2)'!I9+'Solution  2, (hidden) (2)'!H9+'Solution  2, (hidden) (2)'!J9-'Solution  2, (hidden) (2)'!M9," ")</f>
        <v>26798.993599999998</v>
      </c>
    </row>
    <row r="17" spans="3:17" x14ac:dyDescent="0.25">
      <c r="C17" s="285">
        <f>'Solution 1, (hidden)'!B10</f>
        <v>5</v>
      </c>
      <c r="D17" s="285">
        <f>'Solution  2, (hidden)'!B10</f>
        <v>5</v>
      </c>
      <c r="E17" s="285">
        <f>IF('2. Inputs and results'!$C$21&gt;='2. Inputs and results'!$B$21,'Solution  2, (hidden)'!B10,'Solution 1, (hidden)'!B10)</f>
        <v>5</v>
      </c>
      <c r="F17" s="287">
        <f>'Solution 1, (hidden)'!W10</f>
        <v>-122615.37128128001</v>
      </c>
      <c r="G17" s="287">
        <f>'Solution  2, (hidden)'!W10</f>
        <v>-119607.88314399998</v>
      </c>
      <c r="H17" s="287">
        <f>'Solution 1, (hidden)'!R10</f>
        <v>-119002.18283428001</v>
      </c>
      <c r="I17" s="287">
        <f>'Solution  2, (hidden)'!R10</f>
        <v>-111851.82417399998</v>
      </c>
      <c r="J17" s="287">
        <f>'Solution 1, (hidden) (2)'!R10</f>
        <v>-115171.19364928002</v>
      </c>
      <c r="K17" s="287">
        <f>'Solution  2, (hidden) (2)'!R10</f>
        <v>-103628.234824</v>
      </c>
      <c r="L17" s="30">
        <f>IF('4. Cash flow '!E17&lt;('2. Inputs and results'!$B$21+1),'Solution 1, (hidden)'!C10-'Solution 1, (hidden)'!M10," ")</f>
        <v>9620</v>
      </c>
      <c r="M17" s="30">
        <f>IF(E17&lt;('2. Inputs and results'!$C$21+1),'Solution  2, (hidden)'!C10-'Solution  2, (hidden)'!M10," ")</f>
        <v>22100</v>
      </c>
      <c r="N17" s="24">
        <f>IF('4. Cash flow '!E17&lt;('2. Inputs and results'!$B$21+1),'Solution 1, (hidden)'!G10+'Solution 1, (hidden)'!I10+'Solution 1, (hidden)'!H10+'Solution 1, (hidden)'!J10-'Solution 1, (hidden)'!M10," ")</f>
        <v>11058.330962600003</v>
      </c>
      <c r="O17" s="24">
        <f>IF(E17&lt;('2. Inputs and results'!$C$21+1),'Solution  2, (hidden)'!G10+'Solution  2, (hidden)'!I10+'Solution  2, (hidden)'!H10+'Solution  2, (hidden)'!J10-'Solution  2, (hidden)'!M10," ")</f>
        <v>25187.516726000005</v>
      </c>
      <c r="P17" s="24">
        <f>IF('4. Cash flow '!E17&lt;('2. Inputs and results'!$B$21+1),'Solution 1, (hidden) (2)'!G10+'Solution 1, (hidden) (2)'!I10+'Solution 1, (hidden) (2)'!H10+'Solution 1, (hidden) (2)'!J10-'Solution 1, (hidden) (2)'!M10," ")</f>
        <v>12627.985961600001</v>
      </c>
      <c r="Q17" s="24">
        <f>IF(E17&lt;('2. Inputs and results'!$C$21+1),'Solution  2, (hidden) (2)'!G10+'Solution  2, (hidden) (2)'!I10+'Solution  2, (hidden) (2)'!H10+'Solution  2, (hidden) (2)'!J10-'Solution  2, (hidden) (2)'!M10," ")</f>
        <v>28556.933216000001</v>
      </c>
    </row>
    <row r="18" spans="3:17" x14ac:dyDescent="0.25">
      <c r="C18" s="285">
        <f>'Solution 1, (hidden)'!B11</f>
        <v>6</v>
      </c>
      <c r="D18" s="285">
        <f>'Solution  2, (hidden)'!B11</f>
        <v>6</v>
      </c>
      <c r="E18" s="285">
        <f>IF('2. Inputs and results'!$C$21&gt;='2. Inputs and results'!$B$21,'Solution  2, (hidden)'!B11,'Solution 1, (hidden)'!B11)</f>
        <v>6</v>
      </c>
      <c r="F18" s="287">
        <f>'Solution 1, (hidden)'!W11</f>
        <v>-115447.6787069056</v>
      </c>
      <c r="G18" s="287">
        <f>'Solution  2, (hidden)'!W11</f>
        <v>-99900.040806879973</v>
      </c>
      <c r="H18" s="287">
        <f>'Solution 1, (hidden)'!R11</f>
        <v>-109936.9455994876</v>
      </c>
      <c r="I18" s="287">
        <f>'Solution  2, (hidden)'!R11</f>
        <v>-88070.718429699962</v>
      </c>
      <c r="J18" s="287">
        <f>'Solution 1, (hidden) (2)'!R11</f>
        <v>-103978.55240296962</v>
      </c>
      <c r="K18" s="287">
        <f>'Solution  2, (hidden) (2)'!R11</f>
        <v>-75280.450311519991</v>
      </c>
      <c r="L18" s="30">
        <f>IF('4. Cash flow '!E18&lt;('2. Inputs and results'!$B$21+1),'Solution 1, (hidden)'!C11-'Solution 1, (hidden)'!M11," ")</f>
        <v>9620</v>
      </c>
      <c r="M18" s="30">
        <f>IF(E18&lt;('2. Inputs and results'!$C$21+1),'Solution  2, (hidden)'!C11-'Solution  2, (hidden)'!M11," ")</f>
        <v>22100</v>
      </c>
      <c r="N18" s="24">
        <f>IF('4. Cash flow '!E18&lt;('2. Inputs and results'!$B$21+1),'Solution 1, (hidden)'!G11+'Solution 1, (hidden)'!I11+'Solution 1, (hidden)'!H11+'Solution 1, (hidden)'!J11-'Solution 1, (hidden)'!M11," ")</f>
        <v>11445.280891478002</v>
      </c>
      <c r="O18" s="24">
        <f>IF(E18&lt;('2. Inputs and results'!$C$21+1),'Solution  2, (hidden)'!G11+'Solution  2, (hidden)'!I11+'Solution  2, (hidden)'!H11+'Solution  2, (hidden)'!J11-'Solution  2, (hidden)'!M11," ")</f>
        <v>26018.142227780008</v>
      </c>
      <c r="P18" s="24">
        <f>IF('4. Cash flow '!E18&lt;('2. Inputs and results'!$B$21+1),'Solution 1, (hidden) (2)'!G11+'Solution 1, (hidden) (2)'!I11+'Solution 1, (hidden) (2)'!H11+'Solution 1, (hidden) (2)'!J11-'Solution 1, (hidden) (2)'!M11," ")</f>
        <v>13496.065119296003</v>
      </c>
      <c r="Q18" s="24">
        <f>IF(E18&lt;('2. Inputs and results'!$C$21+1),'Solution  2, (hidden) (2)'!G11+'Solution  2, (hidden) (2)'!I11+'Solution  2, (hidden) (2)'!H11+'Solution  2, (hidden) (2)'!J11-'Solution  2, (hidden) (2)'!M11," ")</f>
        <v>30420.349208960004</v>
      </c>
    </row>
    <row r="19" spans="3:17" x14ac:dyDescent="0.25">
      <c r="C19" s="285">
        <f>'Solution 1, (hidden)'!B12</f>
        <v>7</v>
      </c>
      <c r="D19" s="285">
        <f>'Solution  2, (hidden)'!B12</f>
        <v>7</v>
      </c>
      <c r="E19" s="285">
        <f>IF('2. Inputs and results'!$C$21&gt;='2. Inputs and results'!$B$21,'Solution  2, (hidden)'!B12,'Solution 1, (hidden)'!B12)</f>
        <v>7</v>
      </c>
      <c r="F19" s="287">
        <f>'Solution 1, (hidden)'!W12</f>
        <v>-108136.63228104371</v>
      </c>
      <c r="G19" s="287">
        <f>'Solution  2, (hidden)'!W12</f>
        <v>-79798.041623017576</v>
      </c>
      <c r="H19" s="287">
        <f>'Solution 1, (hidden)'!R12</f>
        <v>-100291.84519325502</v>
      </c>
      <c r="I19" s="287">
        <f>'Solution  2, (hidden)'!R12</f>
        <v>-62958.446303680546</v>
      </c>
      <c r="J19" s="287">
        <f>'Solution 1, (hidden) (2)'!R12</f>
        <v>-91641.89442457525</v>
      </c>
      <c r="K19" s="287">
        <f>'Solution  2, (hidden) (2)'!R12</f>
        <v>-44390.489156252777</v>
      </c>
      <c r="L19" s="30">
        <f>IF('4. Cash flow '!E19&lt;('2. Inputs and results'!$B$21+1),'Solution 1, (hidden)'!C12-'Solution 1, (hidden)'!M12," ")</f>
        <v>9620</v>
      </c>
      <c r="M19" s="30">
        <f>IF(E19&lt;('2. Inputs and results'!$C$21+1),'Solution  2, (hidden)'!C12-'Solution  2, (hidden)'!M12," ")</f>
        <v>22100</v>
      </c>
      <c r="N19" s="24">
        <f>IF('4. Cash flow '!E19&lt;('2. Inputs and results'!$B$21+1),'Solution 1, (hidden)'!G12+'Solution 1, (hidden)'!I12+'Solution 1, (hidden)'!H12+'Solution 1, (hidden)'!J12-'Solution 1, (hidden)'!M12," ")</f>
        <v>11843.839318222341</v>
      </c>
      <c r="O19" s="24">
        <f>IF(E19&lt;('2. Inputs and results'!$C$21+1),'Solution  2, (hidden)'!G12+'Solution  2, (hidden)'!I12+'Solution  2, (hidden)'!H12+'Solution  2, (hidden)'!J12-'Solution  2, (hidden)'!M12," ")</f>
        <v>26873.686494613412</v>
      </c>
      <c r="P19" s="24">
        <f>IF('4. Cash flow '!E19&lt;('2. Inputs and results'!$B$21+1),'Solution 1, (hidden) (2)'!G12+'Solution 1, (hidden) (2)'!I12+'Solution 1, (hidden) (2)'!H12+'Solution 1, (hidden) (2)'!J12-'Solution 1, (hidden) (2)'!M12," ")</f>
        <v>14416.229026453764</v>
      </c>
      <c r="Q19" s="24">
        <f>IF(E19&lt;('2. Inputs and results'!$C$21+1),'Solution  2, (hidden) (2)'!G12+'Solution  2, (hidden) (2)'!I12+'Solution  2, (hidden) (2)'!H12+'Solution  2, (hidden) (2)'!J12-'Solution  2, (hidden) (2)'!M12," ")</f>
        <v>32395.570161497613</v>
      </c>
    </row>
    <row r="20" spans="3:17" x14ac:dyDescent="0.25">
      <c r="C20" s="285">
        <f>'Solution 1, (hidden)'!B13</f>
        <v>8</v>
      </c>
      <c r="D20" s="285">
        <f>'Solution  2, (hidden)'!B13</f>
        <v>8</v>
      </c>
      <c r="E20" s="285">
        <f>IF('2. Inputs and results'!$C$21&gt;='2. Inputs and results'!$B$21,'Solution  2, (hidden)'!B13,'Solution 1, (hidden)'!B13)</f>
        <v>8</v>
      </c>
      <c r="F20" s="287">
        <f>'Solution 1, (hidden)'!W13</f>
        <v>-100679.36492666458</v>
      </c>
      <c r="G20" s="287">
        <f>'Solution  2, (hidden)'!W13</f>
        <v>-59294.00245547793</v>
      </c>
      <c r="H20" s="287">
        <f>'Solution 1, (hidden)'!R13</f>
        <v>-90043.327599351105</v>
      </c>
      <c r="I20" s="287">
        <f>'Solution  2, (hidden)'!R13</f>
        <v>-36462.718140302342</v>
      </c>
      <c r="J20" s="287">
        <f>'Solution 1, (hidden) (2)'!R13</f>
        <v>-78083.12954502576</v>
      </c>
      <c r="K20" s="287">
        <f>'Solution  2, (hidden) (2)'!R13</f>
        <v>-10788.99456819037</v>
      </c>
      <c r="L20" s="30">
        <f>IF('4. Cash flow '!E20&lt;('2. Inputs and results'!$B$21+1),'Solution 1, (hidden)'!C13-'Solution 1, (hidden)'!M13," ")</f>
        <v>9620</v>
      </c>
      <c r="M20" s="30">
        <f>IF(E20&lt;('2. Inputs and results'!$C$21+1),'Solution  2, (hidden)'!C13-'Solution  2, (hidden)'!M13," ")</f>
        <v>22100</v>
      </c>
      <c r="N20" s="24">
        <f>IF('4. Cash flow '!E20&lt;('2. Inputs and results'!$B$21+1),'Solution 1, (hidden)'!G13+'Solution 1, (hidden)'!I13+'Solution 1, (hidden)'!H13+'Solution 1, (hidden)'!J13-'Solution 1, (hidden)'!M13," ")</f>
        <v>12254.354497769013</v>
      </c>
      <c r="O20" s="24">
        <f>IF(E20&lt;('2. Inputs and results'!$C$21+1),'Solution  2, (hidden)'!G13+'Solution  2, (hidden)'!I13+'Solution  2, (hidden)'!H13+'Solution  2, (hidden)'!J13-'Solution  2, (hidden)'!M13," ")</f>
        <v>27754.897089451817</v>
      </c>
      <c r="P20" s="24">
        <f>IF('4. Cash flow '!E20&lt;('2. Inputs and results'!$B$21+1),'Solution 1, (hidden) (2)'!G13+'Solution 1, (hidden) (2)'!I13+'Solution 1, (hidden) (2)'!H13+'Solution 1, (hidden) (2)'!J13-'Solution 1, (hidden) (2)'!M13," ")</f>
        <v>15391.60276804099</v>
      </c>
      <c r="Q20" s="24">
        <f>IF(E20&lt;('2. Inputs and results'!$C$21+1),'Solution  2, (hidden) (2)'!G13+'Solution  2, (hidden) (2)'!I13+'Solution  2, (hidden) (2)'!H13+'Solution  2, (hidden) (2)'!J13-'Solution  2, (hidden) (2)'!M13," ")</f>
        <v>34489.304371187463</v>
      </c>
    </row>
    <row r="21" spans="3:17" x14ac:dyDescent="0.25">
      <c r="C21" s="285">
        <f>'Solution 1, (hidden)'!B14</f>
        <v>9</v>
      </c>
      <c r="D21" s="285">
        <f>'Solution  2, (hidden)'!B14</f>
        <v>9</v>
      </c>
      <c r="E21" s="285">
        <f>IF('2. Inputs and results'!$C$21&gt;='2. Inputs and results'!$B$21,'Solution  2, (hidden)'!B14,'Solution 1, (hidden)'!B14)</f>
        <v>9</v>
      </c>
      <c r="F21" s="287">
        <f>'Solution 1, (hidden)'!W14</f>
        <v>-93072.952225197878</v>
      </c>
      <c r="G21" s="287">
        <f>'Solution  2, (hidden)'!W14</f>
        <v>-38379.882504587491</v>
      </c>
      <c r="H21" s="287">
        <f>'Solution 1, (hidden)'!R14</f>
        <v>-79167.009018636061</v>
      </c>
      <c r="I21" s="287">
        <f>'Solution  2, (hidden)'!R14</f>
        <v>-8529.4285009730174</v>
      </c>
      <c r="J21" s="287">
        <f>'Solution 1, (hidden) (2)'!R14</f>
        <v>-63219.293201802822</v>
      </c>
      <c r="K21" s="287">
        <f>'Solution  2, (hidden) (2)'!R14</f>
        <v>25703.888173904539</v>
      </c>
      <c r="L21" s="30">
        <f>IF('4. Cash flow '!E21&lt;('2. Inputs and results'!$B$21+1),'Solution 1, (hidden)'!C14-'Solution 1, (hidden)'!M14," ")</f>
        <v>9620</v>
      </c>
      <c r="M21" s="30">
        <f>IF(E21&lt;('2. Inputs and results'!$C$21+1),'Solution  2, (hidden)'!C14-'Solution  2, (hidden)'!M14," ")</f>
        <v>22100</v>
      </c>
      <c r="N21" s="24">
        <f>IF('4. Cash flow '!E21&lt;('2. Inputs and results'!$B$21+1),'Solution 1, (hidden)'!G14+'Solution 1, (hidden)'!I14+'Solution 1, (hidden)'!H14+'Solution 1, (hidden)'!J14-'Solution 1, (hidden)'!M14," ")</f>
        <v>12677.185132702083</v>
      </c>
      <c r="O21" s="24">
        <f>IF(E21&lt;('2. Inputs and results'!$C$21+1),'Solution  2, (hidden)'!G14+'Solution  2, (hidden)'!I14+'Solution  2, (hidden)'!H14+'Solution  2, (hidden)'!J14-'Solution  2, (hidden)'!M14," ")</f>
        <v>28662.544002135372</v>
      </c>
      <c r="P21" s="24">
        <f>IF('4. Cash flow '!E21&lt;('2. Inputs and results'!$B$21+1),'Solution 1, (hidden) (2)'!G14+'Solution 1, (hidden) (2)'!I14+'Solution 1, (hidden) (2)'!H14+'Solution 1, (hidden) (2)'!J14-'Solution 1, (hidden) (2)'!M14," ")</f>
        <v>16425.498934123447</v>
      </c>
      <c r="Q21" s="24">
        <f>IF(E21&lt;('2. Inputs and results'!$C$21+1),'Solution  2, (hidden) (2)'!G14+'Solution  2, (hidden) (2)'!I14+'Solution  2, (hidden) (2)'!H14+'Solution  2, (hidden) (2)'!J14-'Solution  2, (hidden) (2)'!M14," ")</f>
        <v>36708.66263345872</v>
      </c>
    </row>
    <row r="22" spans="3:17" x14ac:dyDescent="0.25">
      <c r="C22" s="285">
        <f>'Solution 1, (hidden)'!B15</f>
        <v>10</v>
      </c>
      <c r="D22" s="285">
        <f>'Solution  2, (hidden)'!B15</f>
        <v>10</v>
      </c>
      <c r="E22" s="285">
        <f>IF('2. Inputs and results'!$C$21&gt;='2. Inputs and results'!$B$21,'Solution  2, (hidden)'!B15,'Solution 1, (hidden)'!B15)</f>
        <v>10</v>
      </c>
      <c r="F22" s="287">
        <f>'Solution 1, (hidden)'!W15</f>
        <v>-85314.411269701843</v>
      </c>
      <c r="G22" s="287">
        <f>'Solution  2, (hidden)'!W15</f>
        <v>-17047.480154679241</v>
      </c>
      <c r="H22" s="287">
        <f>'Solution 1, (hidden)'!R15</f>
        <v>-67637.648512325643</v>
      </c>
      <c r="I22" s="287">
        <f>'Solution  2, (hidden)'!R15</f>
        <v>20897.403251206953</v>
      </c>
      <c r="J22" s="287">
        <f>'Solution 1, (hidden) (2)'!R15</f>
        <v>-46962.250195668028</v>
      </c>
      <c r="K22" s="287">
        <f>'Solution  2, (hidden) (2)'!R15</f>
        <v>64765.070565370785</v>
      </c>
      <c r="L22" s="30">
        <f>IF('4. Cash flow '!E22&lt;('2. Inputs and results'!$B$21+1),'Solution 1, (hidden)'!C15-'Solution 1, (hidden)'!M15," ")</f>
        <v>9620</v>
      </c>
      <c r="M22" s="30">
        <f>IF(E22&lt;('2. Inputs and results'!$C$21+1),'Solution  2, (hidden)'!C15-'Solution  2, (hidden)'!M15," ")</f>
        <v>22100</v>
      </c>
      <c r="N22" s="24">
        <f>IF('4. Cash flow '!E22&lt;('2. Inputs and results'!$B$21+1),'Solution 1, (hidden)'!G15+'Solution 1, (hidden)'!I15+'Solution 1, (hidden)'!H15+'Solution 1, (hidden)'!J15-'Solution 1, (hidden)'!M15," ")</f>
        <v>13112.700686683145</v>
      </c>
      <c r="O22" s="24">
        <f>IF(E22&lt;('2. Inputs and results'!$C$21+1),'Solution  2, (hidden)'!G15+'Solution  2, (hidden)'!I15+'Solution  2, (hidden)'!H15+'Solution  2, (hidden)'!J15-'Solution  2, (hidden)'!M15," ")</f>
        <v>29597.420322199428</v>
      </c>
      <c r="P22" s="24">
        <f>IF('4. Cash flow '!E22&lt;('2. Inputs and results'!$B$21+1),'Solution 1, (hidden) (2)'!G15+'Solution 1, (hidden) (2)'!I15+'Solution 1, (hidden) (2)'!H15+'Solution 1, (hidden) (2)'!J15-'Solution 1, (hidden) (2)'!M15," ")</f>
        <v>17521.428870170854</v>
      </c>
      <c r="Q22" s="24">
        <f>IF(E22&lt;('2. Inputs and results'!$C$21+1),'Solution  2, (hidden) (2)'!G15+'Solution  2, (hidden) (2)'!I15+'Solution  2, (hidden) (2)'!H15+'Solution  2, (hidden) (2)'!J15-'Solution  2, (hidden) (2)'!M15," ")</f>
        <v>39061.182391466245</v>
      </c>
    </row>
    <row r="23" spans="3:17" x14ac:dyDescent="0.25">
      <c r="C23" s="285">
        <f>'Solution 1, (hidden)'!B16</f>
        <v>11</v>
      </c>
      <c r="D23" s="285">
        <f>'Solution  2, (hidden)'!B16</f>
        <v>11</v>
      </c>
      <c r="E23" s="285">
        <f>IF('2. Inputs and results'!$C$21&gt;='2. Inputs and results'!$B$21,'Solution  2, (hidden)'!B16,'Solution 1, (hidden)'!B16)</f>
        <v>11</v>
      </c>
      <c r="F23" s="287">
        <f>'Solution 1, (hidden)'!W16</f>
        <v>-77400.699495095876</v>
      </c>
      <c r="G23" s="287">
        <f>'Solution  2, (hidden)'!W16</f>
        <v>4711.5702422271743</v>
      </c>
      <c r="H23" s="287">
        <f>'Solution 1, (hidden)'!R16</f>
        <v>-55429.119775288513</v>
      </c>
      <c r="I23" s="287">
        <f>'Solution  2, (hidden)'!R16</f>
        <v>51457.746183072355</v>
      </c>
      <c r="J23" s="287">
        <f>'Solution 1, (hidden) (2)'!R16</f>
        <v>-29218.380597200285</v>
      </c>
      <c r="K23" s="287">
        <f>'Solution  2, (hidden) (2)'!R16</f>
        <v>106319.923900325</v>
      </c>
      <c r="L23" s="30">
        <f>IF('4. Cash flow '!E23&lt;('2. Inputs and results'!$B$21+1),'Solution 1, (hidden)'!C16-'Solution 1, (hidden)'!M16," ")</f>
        <v>9620</v>
      </c>
      <c r="M23" s="30">
        <f>IF(E23&lt;('2. Inputs and results'!$C$21+1),'Solution  2, (hidden)'!C16-'Solution  2, (hidden)'!M16," ")</f>
        <v>22100</v>
      </c>
      <c r="N23" s="24">
        <f>IF('4. Cash flow '!E23&lt;('2. Inputs and results'!$B$21+1),'Solution 1, (hidden)'!G16+'Solution 1, (hidden)'!I16+'Solution 1, (hidden)'!H16+'Solution 1, (hidden)'!J16-'Solution 1, (hidden)'!M16," ")</f>
        <v>13561.281707283641</v>
      </c>
      <c r="O23" s="24">
        <f>IF(E23&lt;('2. Inputs and results'!$C$21+1),'Solution  2, (hidden)'!G16+'Solution  2, (hidden)'!I16+'Solution  2, (hidden)'!H16+'Solution  2, (hidden)'!J16-'Solution  2, (hidden)'!M16," ")</f>
        <v>30560.342931865409</v>
      </c>
      <c r="P23" s="24">
        <f>IF('4. Cash flow '!E23&lt;('2. Inputs and results'!$B$21+1),'Solution 1, (hidden) (2)'!G16+'Solution 1, (hidden) (2)'!I16+'Solution 1, (hidden) (2)'!H16+'Solution 1, (hidden) (2)'!J16-'Solution 1, (hidden) (2)'!M16," ")</f>
        <v>18683.114602381105</v>
      </c>
      <c r="Q23" s="24">
        <f>IF(E23&lt;('2. Inputs and results'!$C$21+1),'Solution  2, (hidden) (2)'!G16+'Solution  2, (hidden) (2)'!I16+'Solution  2, (hidden) (2)'!H16+'Solution  2, (hidden) (2)'!J16-'Solution  2, (hidden) (2)'!M16," ")</f>
        <v>41554.853334954219</v>
      </c>
    </row>
    <row r="24" spans="3:17" x14ac:dyDescent="0.25">
      <c r="C24" s="285">
        <f>'Solution 1, (hidden)'!B17</f>
        <v>12</v>
      </c>
      <c r="D24" s="285">
        <f>'Solution  2, (hidden)'!B17</f>
        <v>12</v>
      </c>
      <c r="E24" s="285">
        <f>IF('2. Inputs and results'!$C$21&gt;='2. Inputs and results'!$B$21,'Solution  2, (hidden)'!B17,'Solution 1, (hidden)'!B17)</f>
        <v>12</v>
      </c>
      <c r="F24" s="287">
        <f>'Solution 1, (hidden)'!W17</f>
        <v>-69328.713484997788</v>
      </c>
      <c r="G24" s="287">
        <f>'Solution  2, (hidden)'!W17</f>
        <v>26811.570242227175</v>
      </c>
      <c r="H24" s="287">
        <f>'Solution 1, (hidden)'!R17</f>
        <v>-42514.382012292132</v>
      </c>
      <c r="I24" s="287">
        <f>'Solution  2, (hidden)'!R17</f>
        <v>83009.899402893716</v>
      </c>
      <c r="J24" s="287">
        <f>'Solution 1, (hidden) (2)'!R17</f>
        <v>-9888.246730620318</v>
      </c>
      <c r="K24" s="287">
        <f>'Solution  2, (hidden) (2)'!R17</f>
        <v>150518.06843537648</v>
      </c>
      <c r="L24" s="30">
        <f>IF('4. Cash flow '!E24&lt;('2. Inputs and results'!$B$21+1),'Solution 1, (hidden)'!C17-'Solution 1, (hidden)'!M17," ")</f>
        <v>9620</v>
      </c>
      <c r="M24" s="30">
        <f>IF(E24&lt;('2. Inputs and results'!$C$21+1),'Solution  2, (hidden)'!C17-'Solution  2, (hidden)'!M17," ")</f>
        <v>22100</v>
      </c>
      <c r="N24" s="24">
        <f>IF('4. Cash flow '!E24&lt;('2. Inputs and results'!$B$21+1),'Solution 1, (hidden)'!G17+'Solution 1, (hidden)'!I17+'Solution 1, (hidden)'!H17+'Solution 1, (hidden)'!J17-'Solution 1, (hidden)'!M17," ")</f>
        <v>14023.320158502151</v>
      </c>
      <c r="O24" s="24">
        <f>IF(E24&lt;('2. Inputs and results'!$C$21+1),'Solution  2, (hidden)'!G17+'Solution  2, (hidden)'!I17+'Solution  2, (hidden)'!H17+'Solution  2, (hidden)'!J17-'Solution  2, (hidden)'!M17," ")</f>
        <v>31552.153219821368</v>
      </c>
      <c r="P24" s="24">
        <f>IF('4. Cash flow '!E24&lt;('2. Inputs and results'!$B$21+1),'Solution 1, (hidden) (2)'!G17+'Solution 1, (hidden) (2)'!I17+'Solution 1, (hidden) (2)'!H17+'Solution 1, (hidden) (2)'!J17-'Solution 1, (hidden) (2)'!M17," ")</f>
        <v>19914.501478523973</v>
      </c>
      <c r="Q24" s="24">
        <f>IF(E24&lt;('2. Inputs and results'!$C$21+1),'Solution  2, (hidden) (2)'!G17+'Solution  2, (hidden) (2)'!I17+'Solution  2, (hidden) (2)'!H17+'Solution  2, (hidden) (2)'!J17-'Solution  2, (hidden) (2)'!M17," ")</f>
        <v>44198.14453505147</v>
      </c>
    </row>
    <row r="25" spans="3:17" x14ac:dyDescent="0.25">
      <c r="C25" s="285">
        <f>'Solution 1, (hidden)'!B18</f>
        <v>13</v>
      </c>
      <c r="D25" s="285">
        <f>'Solution  2, (hidden)'!B18</f>
        <v>13</v>
      </c>
      <c r="E25" s="285">
        <f>IF('2. Inputs and results'!$C$21&gt;='2. Inputs and results'!$B$21,'Solution  2, (hidden)'!B18,'Solution 1, (hidden)'!B18)</f>
        <v>13</v>
      </c>
      <c r="F25" s="287">
        <f>'Solution 1, (hidden)'!W18</f>
        <v>-61095.287754697747</v>
      </c>
      <c r="G25" s="287">
        <f>'Solution  2, (hidden)'!W18</f>
        <v>48911.570242227172</v>
      </c>
      <c r="H25" s="287">
        <f>'Solution 1, (hidden)'!R18</f>
        <v>-28865.449889280761</v>
      </c>
      <c r="I25" s="287">
        <f>'Solution  2, (hidden)'!R18</f>
        <v>115583.61721930972</v>
      </c>
      <c r="J25" s="287">
        <f>'Solution 1, (hidden) (2)'!R18</f>
        <v>11133.759902002685</v>
      </c>
      <c r="K25" s="287">
        <f>'Solution  2, (hidden) (2)'!R18</f>
        <v>197518.10164253105</v>
      </c>
      <c r="L25" s="30">
        <f>IF('4. Cash flow '!E25&lt;('2. Inputs and results'!$B$21+1),'Solution 1, (hidden)'!C18-'Solution 1, (hidden)'!M18," ")</f>
        <v>9620</v>
      </c>
      <c r="M25" s="30">
        <f>IF(E25&lt;('2. Inputs and results'!$C$21+1),'Solution  2, (hidden)'!C18-'Solution  2, (hidden)'!M18," ")</f>
        <v>22100</v>
      </c>
      <c r="N25" s="24">
        <f>IF('4. Cash flow '!E25&lt;('2. Inputs and results'!$B$21+1),'Solution 1, (hidden)'!G18+'Solution 1, (hidden)'!I18+'Solution 1, (hidden)'!H18+'Solution 1, (hidden)'!J18-'Solution 1, (hidden)'!M18," ")</f>
        <v>14499.219763257213</v>
      </c>
      <c r="O25" s="24">
        <f>IF(E25&lt;('2. Inputs and results'!$C$21+1),'Solution  2, (hidden)'!G18+'Solution  2, (hidden)'!I18+'Solution  2, (hidden)'!H18+'Solution  2, (hidden)'!J18-'Solution  2, (hidden)'!M18," ")</f>
        <v>32573.717816416014</v>
      </c>
      <c r="P25" s="24">
        <f>IF('4. Cash flow '!E25&lt;('2. Inputs and results'!$B$21+1),'Solution 1, (hidden) (2)'!G18+'Solution 1, (hidden) (2)'!I18+'Solution 1, (hidden) (2)'!H18+'Solution 1, (hidden) (2)'!J18-'Solution 1, (hidden) (2)'!M18," ")</f>
        <v>21219.77156723541</v>
      </c>
      <c r="Q25" s="24">
        <f>IF(E25&lt;('2. Inputs and results'!$C$21+1),'Solution  2, (hidden) (2)'!G18+'Solution  2, (hidden) (2)'!I18+'Solution  2, (hidden) (2)'!H18+'Solution  2, (hidden) (2)'!J18-'Solution  2, (hidden) (2)'!M18," ")</f>
        <v>47000.033207154556</v>
      </c>
    </row>
    <row r="26" spans="3:17" x14ac:dyDescent="0.25">
      <c r="C26" s="285">
        <f>'Solution 1, (hidden)'!B19</f>
        <v>14</v>
      </c>
      <c r="D26" s="285">
        <f>'Solution  2, (hidden)'!B19</f>
        <v>14</v>
      </c>
      <c r="E26" s="285">
        <f>IF('2. Inputs and results'!$C$21&gt;='2. Inputs and results'!$B$21,'Solution  2, (hidden)'!B19,'Solution 1, (hidden)'!B19)</f>
        <v>14</v>
      </c>
      <c r="F26" s="287">
        <f>'Solution 1, (hidden)'!W19</f>
        <v>-52697.193509791701</v>
      </c>
      <c r="G26" s="287">
        <f>'Solution  2, (hidden)'!W19</f>
        <v>71011.570242227172</v>
      </c>
      <c r="H26" s="287">
        <f>'Solution 1, (hidden)'!R19</f>
        <v>-14453.362530911443</v>
      </c>
      <c r="I26" s="287">
        <f>'Solution  2, (hidden)'!R19</f>
        <v>149209.54657021823</v>
      </c>
      <c r="J26" s="287">
        <f>'Solution 1, (hidden) (2)'!R19</f>
        <v>33737.117763272225</v>
      </c>
      <c r="K26" s="287">
        <f>'Solution  2, (hidden) (2)'!R19</f>
        <v>247488.13684211488</v>
      </c>
      <c r="L26" s="30">
        <f>IF('4. Cash flow '!E26&lt;('2. Inputs and results'!$B$21+1),'Solution 1, (hidden)'!C19-'Solution 1, (hidden)'!M19," ")</f>
        <v>9620</v>
      </c>
      <c r="M26" s="30">
        <f>IF(E26&lt;('2. Inputs and results'!$C$21+1),'Solution  2, (hidden)'!C19-'Solution  2, (hidden)'!M19," ")</f>
        <v>22100</v>
      </c>
      <c r="N26" s="24">
        <f>IF('4. Cash flow '!E26&lt;('2. Inputs and results'!$B$21+1),'Solution 1, (hidden)'!G19+'Solution 1, (hidden)'!I19+'Solution 1, (hidden)'!H19+'Solution 1, (hidden)'!J19-'Solution 1, (hidden)'!M19," ")</f>
        <v>14989.396356154932</v>
      </c>
      <c r="O26" s="24">
        <f>IF(E26&lt;('2. Inputs and results'!$C$21+1),'Solution  2, (hidden)'!G19+'Solution  2, (hidden)'!I19+'Solution  2, (hidden)'!H19+'Solution  2, (hidden)'!J19-'Solution  2, (hidden)'!M19," ")</f>
        <v>33625.929350908504</v>
      </c>
      <c r="P26" s="24">
        <f>IF('4. Cash flow '!E26&lt;('2. Inputs and results'!$B$21+1),'Solution 1, (hidden) (2)'!G19+'Solution 1, (hidden) (2)'!I19+'Solution 1, (hidden) (2)'!H19+'Solution 1, (hidden) (2)'!J19-'Solution 1, (hidden) (2)'!M19," ")</f>
        <v>22603.357861269535</v>
      </c>
      <c r="Q26" s="24">
        <f>IF(E26&lt;('2. Inputs and results'!$C$21+1),'Solution  2, (hidden) (2)'!G19+'Solution  2, (hidden) (2)'!I19+'Solution  2, (hidden) (2)'!H19+'Solution  2, (hidden) (2)'!J19-'Solution  2, (hidden) (2)'!M19," ")</f>
        <v>49970.035199583828</v>
      </c>
    </row>
    <row r="27" spans="3:17" x14ac:dyDescent="0.25">
      <c r="C27" s="285">
        <f>'Solution 1, (hidden)'!B20</f>
        <v>15</v>
      </c>
      <c r="D27" s="285">
        <f>'Solution  2, (hidden)'!B20</f>
        <v>15</v>
      </c>
      <c r="E27" s="285">
        <f>IF('2. Inputs and results'!$C$21&gt;='2. Inputs and results'!$B$21,'Solution  2, (hidden)'!B20,'Solution 1, (hidden)'!B20)</f>
        <v>15</v>
      </c>
      <c r="F27" s="287">
        <f>'Solution 1, (hidden)'!W20</f>
        <v>-44131.137379987536</v>
      </c>
      <c r="G27" s="287">
        <f>'Solution  2, (hidden)'!W20</f>
        <v>93111.570242227172</v>
      </c>
      <c r="H27" s="287">
        <f>'Solution 1, (hidden)'!R20</f>
        <v>751.84846530990671</v>
      </c>
      <c r="I27" s="287">
        <f>'Solution  2, (hidden)'!R20</f>
        <v>183919.25380165398</v>
      </c>
      <c r="J27" s="287">
        <f>'Solution 1, (hidden) (2)'!R20</f>
        <v>57807.077096217938</v>
      </c>
      <c r="K27" s="287">
        <f>'Solution  2, (hidden) (2)'!R20</f>
        <v>300606.37415367371</v>
      </c>
      <c r="L27" s="30">
        <f>IF('4. Cash flow '!E27&lt;('2. Inputs and results'!$B$21+1),'Solution 1, (hidden)'!C20-'Solution 1, (hidden)'!M20," ")</f>
        <v>9620</v>
      </c>
      <c r="M27" s="30">
        <f>IF(E27&lt;('2. Inputs and results'!$C$21+1),'Solution  2, (hidden)'!C20-'Solution  2, (hidden)'!M20," ")</f>
        <v>22100</v>
      </c>
      <c r="N27" s="24">
        <f>IF('4. Cash flow '!E27&lt;('2. Inputs and results'!$B$21+1),'Solution 1, (hidden)'!G20+'Solution 1, (hidden)'!I20+'Solution 1, (hidden)'!H20+'Solution 1, (hidden)'!J20-'Solution 1, (hidden)'!M20," ")</f>
        <v>15494.278246839578</v>
      </c>
      <c r="O27" s="24">
        <f>IF(E27&lt;('2. Inputs and results'!$C$21+1),'Solution  2, (hidden)'!G20+'Solution  2, (hidden)'!I20+'Solution  2, (hidden)'!H20+'Solution  2, (hidden)'!J20-'Solution  2, (hidden)'!M20," ")</f>
        <v>34709.707231435765</v>
      </c>
      <c r="P27" s="24">
        <f>IF('4. Cash flow '!E27&lt;('2. Inputs and results'!$B$21+1),'Solution 1, (hidden) (2)'!G20+'Solution 1, (hidden) (2)'!I20+'Solution 1, (hidden) (2)'!H20+'Solution 1, (hidden) (2)'!J20-'Solution 1, (hidden) (2)'!M20," ")</f>
        <v>24069.959332945709</v>
      </c>
      <c r="Q27" s="24">
        <f>IF(E27&lt;('2. Inputs and results'!$C$21+1),'Solution  2, (hidden) (2)'!G20+'Solution  2, (hidden) (2)'!I20+'Solution  2, (hidden) (2)'!H20+'Solution  2, (hidden) (2)'!J20-'Solution  2, (hidden) (2)'!M20," ")</f>
        <v>53118.237311558863</v>
      </c>
    </row>
    <row r="28" spans="3:17" x14ac:dyDescent="0.25">
      <c r="C28" s="285">
        <f>'Solution 1, (hidden)'!B21</f>
        <v>16</v>
      </c>
      <c r="D28" s="285">
        <f>'Solution  2, (hidden)'!B21</f>
        <v>16</v>
      </c>
      <c r="E28" s="285">
        <f>IF('2. Inputs and results'!$C$21&gt;='2. Inputs and results'!$B$21,'Solution  2, (hidden)'!B21,'Solution 1, (hidden)'!B21)</f>
        <v>16</v>
      </c>
      <c r="F28" s="287">
        <f>'Solution 1, (hidden)'!W21</f>
        <v>-35393.760127587288</v>
      </c>
      <c r="G28" s="287">
        <f>'Solution  2, (hidden)'!W21</f>
        <v>115211.57024222717</v>
      </c>
      <c r="H28" s="287">
        <f>'Solution 1, (hidden)'!R21</f>
        <v>16766.155059554672</v>
      </c>
      <c r="I28" s="287">
        <f>'Solution  2, (hidden)'!R21</f>
        <v>219745.25225003279</v>
      </c>
      <c r="J28" s="287">
        <f>'Solution 1, (hidden) (2)'!R21</f>
        <v>83431.633989140391</v>
      </c>
      <c r="K28" s="287">
        <f>'Solution  2, (hidden) (2)'!R21</f>
        <v>357061.7057039261</v>
      </c>
      <c r="L28" s="30">
        <f>IF('4. Cash flow '!E28&lt;('2. Inputs and results'!$B$21+1),'Solution 1, (hidden)'!C21-'Solution 1, (hidden)'!M21," ")</f>
        <v>9620</v>
      </c>
      <c r="M28" s="30">
        <f>IF(E28&lt;('2. Inputs and results'!$C$21+1),'Solution  2, (hidden)'!C21-'Solution  2, (hidden)'!M21," ")</f>
        <v>22100</v>
      </c>
      <c r="N28" s="24">
        <f>IF('4. Cash flow '!E28&lt;('2. Inputs and results'!$B$21+1),'Solution 1, (hidden)'!G21+'Solution 1, (hidden)'!I21+'Solution 1, (hidden)'!H21+'Solution 1, (hidden)'!J21-'Solution 1, (hidden)'!M21," ")</f>
        <v>16014.306594244765</v>
      </c>
      <c r="O28" s="24">
        <f>IF(E28&lt;('2. Inputs and results'!$C$21+1),'Solution  2, (hidden)'!G21+'Solution  2, (hidden)'!I21+'Solution  2, (hidden)'!H21+'Solution  2, (hidden)'!J21-'Solution  2, (hidden)'!M21," ")</f>
        <v>35825.998448378828</v>
      </c>
      <c r="P28" s="24">
        <f>IF('4. Cash flow '!E28&lt;('2. Inputs and results'!$B$21+1),'Solution 1, (hidden) (2)'!G21+'Solution 1, (hidden) (2)'!I21+'Solution 1, (hidden) (2)'!H21+'Solution 1, (hidden) (2)'!J21-'Solution 1, (hidden) (2)'!M21," ")</f>
        <v>25624.556892922454</v>
      </c>
      <c r="Q28" s="24">
        <f>IF(E28&lt;('2. Inputs and results'!$C$21+1),'Solution  2, (hidden) (2)'!G21+'Solution  2, (hidden) (2)'!I21+'Solution  2, (hidden) (2)'!H21+'Solution  2, (hidden) (2)'!J21-'Solution  2, (hidden) (2)'!M21," ")</f>
        <v>56455.331550252391</v>
      </c>
    </row>
    <row r="29" spans="3:17" x14ac:dyDescent="0.25">
      <c r="C29" s="285">
        <f>'Solution 1, (hidden)'!B22</f>
        <v>17</v>
      </c>
      <c r="D29" s="285">
        <f>'Solution  2, (hidden)'!B22</f>
        <v>17</v>
      </c>
      <c r="E29" s="285">
        <f>IF('2. Inputs and results'!$C$21&gt;='2. Inputs and results'!$B$21,'Solution  2, (hidden)'!B22,'Solution 1, (hidden)'!B22)</f>
        <v>17</v>
      </c>
      <c r="F29" s="287">
        <f>'Solution 1, (hidden)'!W22</f>
        <v>-26481.635330139034</v>
      </c>
      <c r="G29" s="287">
        <f>'Solution  2, (hidden)'!W22</f>
        <v>137311.57024222717</v>
      </c>
      <c r="H29" s="287">
        <f>'Solution 1, (hidden)'!R22</f>
        <v>33316.090851626781</v>
      </c>
      <c r="I29" s="287">
        <f>'Solution  2, (hidden)'!R22</f>
        <v>256721.03065186297</v>
      </c>
      <c r="J29" s="287">
        <f>'Solution 1, (hidden) (2)'!R22</f>
        <v>110704.06429563819</v>
      </c>
      <c r="K29" s="287">
        <f>'Solution  2, (hidden) (2)'!R22</f>
        <v>417054.35714719363</v>
      </c>
      <c r="L29" s="30">
        <f>IF('4. Cash flow '!E29&lt;('2. Inputs and results'!$B$21+1),'Solution 1, (hidden)'!C22-'Solution 1, (hidden)'!M22," ")</f>
        <v>9620</v>
      </c>
      <c r="M29" s="30">
        <f>IF(E29&lt;('2. Inputs and results'!$C$21+1),'Solution  2, (hidden)'!C22-'Solution  2, (hidden)'!M22," ")</f>
        <v>22100</v>
      </c>
      <c r="N29" s="24">
        <f>IF('4. Cash flow '!E29&lt;('2. Inputs and results'!$B$21+1),'Solution 1, (hidden)'!G22+'Solution 1, (hidden)'!I22+'Solution 1, (hidden)'!H22+'Solution 1, (hidden)'!J22-'Solution 1, (hidden)'!M22," ")</f>
        <v>16549.935792072112</v>
      </c>
      <c r="O29" s="24">
        <f>IF(E29&lt;('2. Inputs and results'!$C$21+1),'Solution  2, (hidden)'!G22+'Solution  2, (hidden)'!I22+'Solution  2, (hidden)'!H22+'Solution  2, (hidden)'!J22-'Solution  2, (hidden)'!M22," ")</f>
        <v>36975.77840183019</v>
      </c>
      <c r="P29" s="24">
        <f>IF('4. Cash flow '!E29&lt;('2. Inputs and results'!$B$21+1),'Solution 1, (hidden) (2)'!G22+'Solution 1, (hidden) (2)'!I22+'Solution 1, (hidden) (2)'!H22+'Solution 1, (hidden) (2)'!J22-'Solution 1, (hidden) (2)'!M22," ")</f>
        <v>27272.430306497801</v>
      </c>
      <c r="Q29" s="24">
        <f>IF(E29&lt;('2. Inputs and results'!$C$21+1),'Solution  2, (hidden) (2)'!G22+'Solution  2, (hidden) (2)'!I22+'Solution  2, (hidden) (2)'!H22+'Solution  2, (hidden) (2)'!J22-'Solution  2, (hidden) (2)'!M22," ")</f>
        <v>59992.651443267532</v>
      </c>
    </row>
    <row r="30" spans="3:17" x14ac:dyDescent="0.25">
      <c r="C30" s="285">
        <f>'Solution 1, (hidden)'!B23</f>
        <v>18</v>
      </c>
      <c r="D30" s="285">
        <f>'Solution  2, (hidden)'!B23</f>
        <v>18</v>
      </c>
      <c r="E30" s="285">
        <f>IF('2. Inputs and results'!$C$21&gt;='2. Inputs and results'!$B$21,'Solution  2, (hidden)'!B23,'Solution 1, (hidden)'!B23)</f>
        <v>18</v>
      </c>
      <c r="F30" s="287">
        <f>'Solution 1, (hidden)'!W23</f>
        <v>-17391.268036741814</v>
      </c>
      <c r="G30" s="287">
        <f>'Solution  2, (hidden)'!W23</f>
        <v>159411.57024222717</v>
      </c>
      <c r="H30" s="287">
        <f>'Solution 1, (hidden)'!R23</f>
        <v>50417.724717461053</v>
      </c>
      <c r="I30" s="287">
        <f>'Solution  2, (hidden)'!R23</f>
        <v>294881.08240574808</v>
      </c>
      <c r="J30" s="287">
        <f>'Solution 1, (hidden) (2)'!R23</f>
        <v>139723.24042052586</v>
      </c>
      <c r="K30" s="287">
        <f>'Solution  2, (hidden) (2)'!R23</f>
        <v>480796.56767705723</v>
      </c>
      <c r="L30" s="30">
        <f>IF('4. Cash flow '!E30&lt;('2. Inputs and results'!$B$21+1),'Solution 1, (hidden)'!C23-'Solution 1, (hidden)'!M23," ")</f>
        <v>9620</v>
      </c>
      <c r="M30" s="30">
        <f>IF(E30&lt;('2. Inputs and results'!$C$21+1),'Solution  2, (hidden)'!C23-'Solution  2, (hidden)'!M23," ")</f>
        <v>22100</v>
      </c>
      <c r="N30" s="24">
        <f>IF('4. Cash flow '!E30&lt;('2. Inputs and results'!$B$21+1),'Solution 1, (hidden)'!G23+'Solution 1, (hidden)'!I23+'Solution 1, (hidden)'!H23+'Solution 1, (hidden)'!J23-'Solution 1, (hidden)'!M23," ")</f>
        <v>17101.633865834276</v>
      </c>
      <c r="O30" s="24">
        <f>IF(E30&lt;('2. Inputs and results'!$C$21+1),'Solution  2, (hidden)'!G23+'Solution  2, (hidden)'!I23+'Solution  2, (hidden)'!H23+'Solution  2, (hidden)'!J23-'Solution  2, (hidden)'!M23," ")</f>
        <v>38160.051753885091</v>
      </c>
      <c r="P30" s="24">
        <f>IF('4. Cash flow '!E30&lt;('2. Inputs and results'!$B$21+1),'Solution 1, (hidden) (2)'!G23+'Solution 1, (hidden) (2)'!I23+'Solution 1, (hidden) (2)'!H23+'Solution 1, (hidden) (2)'!J23-'Solution 1, (hidden) (2)'!M23," ")</f>
        <v>29019.176124887672</v>
      </c>
      <c r="Q30" s="24">
        <f>IF(E30&lt;('2. Inputs and results'!$C$21+1),'Solution  2, (hidden) (2)'!G23+'Solution  2, (hidden) (2)'!I23+'Solution  2, (hidden) (2)'!H23+'Solution  2, (hidden) (2)'!J23-'Solution  2, (hidden) (2)'!M23," ")</f>
        <v>63742.210529863587</v>
      </c>
    </row>
    <row r="31" spans="3:17" x14ac:dyDescent="0.25">
      <c r="C31" s="285">
        <f>'Solution 1, (hidden)'!B24</f>
        <v>19</v>
      </c>
      <c r="D31" s="285">
        <f>'Solution  2, (hidden)'!B24</f>
        <v>19</v>
      </c>
      <c r="E31" s="285">
        <f>IF('2. Inputs and results'!$C$21&gt;='2. Inputs and results'!$B$21,'Solution  2, (hidden)'!B24,'Solution 1, (hidden)'!B24)</f>
        <v>19</v>
      </c>
      <c r="F31" s="287">
        <f>'Solution 1, (hidden)'!W24</f>
        <v>-8119.0933974766504</v>
      </c>
      <c r="G31" s="287">
        <f>'Solution  2, (hidden)'!W24</f>
        <v>181511.57024222717</v>
      </c>
      <c r="H31" s="287">
        <f>'Solution 1, (hidden)'!R24</f>
        <v>68087.60759927037</v>
      </c>
      <c r="I31" s="287">
        <f>'Solution  2, (hidden)'!R24</f>
        <v>334260.93571224972</v>
      </c>
      <c r="J31" s="287">
        <f>'Solution 1, (hidden) (2)'!R24</f>
        <v>170593.9671129068</v>
      </c>
      <c r="K31" s="287">
        <f>'Solution  2, (hidden) (2)'!R24</f>
        <v>548513.31083871261</v>
      </c>
      <c r="L31" s="30">
        <f>IF('4. Cash flow '!E31&lt;('2. Inputs and results'!$B$21+1),'Solution 1, (hidden)'!C24-'Solution 1, (hidden)'!M24," ")</f>
        <v>9620</v>
      </c>
      <c r="M31" s="30">
        <f>IF(E31&lt;('2. Inputs and results'!$C$21+1),'Solution  2, (hidden)'!C24-'Solution  2, (hidden)'!M24," ")</f>
        <v>22100</v>
      </c>
      <c r="N31" s="24">
        <f>IF('4. Cash flow '!E31&lt;('2. Inputs and results'!$B$21+1),'Solution 1, (hidden)'!G24+'Solution 1, (hidden)'!I24+'Solution 1, (hidden)'!H24+'Solution 1, (hidden)'!J24-'Solution 1, (hidden)'!M24," ")</f>
        <v>17669.882881809302</v>
      </c>
      <c r="O31" s="24">
        <f>IF(E31&lt;('2. Inputs and results'!$C$21+1),'Solution  2, (hidden)'!G24+'Solution  2, (hidden)'!I24+'Solution  2, (hidden)'!H24+'Solution  2, (hidden)'!J24-'Solution  2, (hidden)'!M24," ")</f>
        <v>39379.853306501638</v>
      </c>
      <c r="P31" s="24">
        <f>IF('4. Cash flow '!E31&lt;('2. Inputs and results'!$B$21+1),'Solution 1, (hidden) (2)'!G24+'Solution 1, (hidden) (2)'!I24+'Solution 1, (hidden) (2)'!H24+'Solution 1, (hidden) (2)'!J24-'Solution 1, (hidden) (2)'!M24," ")</f>
        <v>30870.726692380933</v>
      </c>
      <c r="Q31" s="24">
        <f>IF(E31&lt;('2. Inputs and results'!$C$21+1),'Solution  2, (hidden) (2)'!G24+'Solution  2, (hidden) (2)'!I24+'Solution  2, (hidden) (2)'!H24+'Solution  2, (hidden) (2)'!J24-'Solution  2, (hidden) (2)'!M24," ")</f>
        <v>67716.743161655409</v>
      </c>
    </row>
    <row r="32" spans="3:17" x14ac:dyDescent="0.25">
      <c r="C32" s="285">
        <f>'Solution 1, (hidden)'!B25</f>
        <v>20</v>
      </c>
      <c r="D32" s="285">
        <f>'Solution  2, (hidden)'!B25</f>
        <v>20</v>
      </c>
      <c r="E32" s="285">
        <f>IF('2. Inputs and results'!$C$21&gt;='2. Inputs and results'!$B$21,'Solution  2, (hidden)'!B25,'Solution 1, (hidden)'!B25)</f>
        <v>20</v>
      </c>
      <c r="F32" s="287">
        <f>'Solution 1, (hidden)'!W25</f>
        <v>1338.5247345738167</v>
      </c>
      <c r="G32" s="287">
        <f>'Solution  2, (hidden)'!W25</f>
        <v>203611.57024222717</v>
      </c>
      <c r="H32" s="287">
        <f>'Solution 1, (hidden)'!R25</f>
        <v>86342.786967533961</v>
      </c>
      <c r="I32" s="287">
        <f>'Solution  2, (hidden)'!R25</f>
        <v>374897.18461794639</v>
      </c>
      <c r="J32" s="287">
        <f>'Solution 1, (hidden) (2)'!R25</f>
        <v>203427.3374068306</v>
      </c>
      <c r="K32" s="287">
        <f>'Solution  2, (hidden) (2)'!R25</f>
        <v>620443.05859006732</v>
      </c>
      <c r="L32" s="30">
        <f>IF('4. Cash flow '!E32&lt;('2. Inputs and results'!$B$21+1),'Solution 1, (hidden)'!C25-'Solution 1, (hidden)'!M25," ")</f>
        <v>9620</v>
      </c>
      <c r="M32" s="30">
        <f>IF(E32&lt;('2. Inputs and results'!$C$21+1),'Solution  2, (hidden)'!C25-'Solution  2, (hidden)'!M25," ")</f>
        <v>22100</v>
      </c>
      <c r="N32" s="24">
        <f>IF('4. Cash flow '!E32&lt;('2. Inputs and results'!$B$21+1),'Solution 1, (hidden)'!G25+'Solution 1, (hidden)'!I25+'Solution 1, (hidden)'!H25+'Solution 1, (hidden)'!J25-'Solution 1, (hidden)'!M25," ")</f>
        <v>18255.179368263583</v>
      </c>
      <c r="O32" s="24">
        <f>IF(E32&lt;('2. Inputs and results'!$C$21+1),'Solution  2, (hidden)'!G25+'Solution  2, (hidden)'!I25+'Solution  2, (hidden)'!H25+'Solution  2, (hidden)'!J25-'Solution  2, (hidden)'!M25," ")</f>
        <v>40636.248905696695</v>
      </c>
      <c r="P32" s="24">
        <f>IF('4. Cash flow '!E32&lt;('2. Inputs and results'!$B$21+1),'Solution 1, (hidden) (2)'!G25+'Solution 1, (hidden) (2)'!I25+'Solution 1, (hidden) (2)'!H25+'Solution 1, (hidden) (2)'!J25-'Solution 1, (hidden) (2)'!M25," ")</f>
        <v>32833.370293923785</v>
      </c>
      <c r="Q32" s="24">
        <f>IF(E32&lt;('2. Inputs and results'!$C$21+1),'Solution  2, (hidden) (2)'!G25+'Solution  2, (hidden) (2)'!I25+'Solution  2, (hidden) (2)'!H25+'Solution  2, (hidden) (2)'!J25-'Solution  2, (hidden) (2)'!M25," ")</f>
        <v>71929.747751354735</v>
      </c>
    </row>
    <row r="33" spans="3:17" x14ac:dyDescent="0.25">
      <c r="C33" s="285" t="str">
        <f>'Solution 1, (hidden)'!B26</f>
        <v xml:space="preserve"> </v>
      </c>
      <c r="D33" s="285" t="str">
        <f>'Solution  2, (hidden)'!B26</f>
        <v xml:space="preserve"> </v>
      </c>
      <c r="E33" s="285" t="str">
        <f>IF('2. Inputs and results'!$C$21&gt;='2. Inputs and results'!$B$21,'Solution  2, (hidden)'!B26,'Solution 1, (hidden)'!B26)</f>
        <v xml:space="preserve"> </v>
      </c>
      <c r="F33" s="287" t="e">
        <f>'Solution 1, (hidden)'!W26</f>
        <v>#N/A</v>
      </c>
      <c r="G33" s="287" t="e">
        <f>'Solution  2, (hidden)'!W26</f>
        <v>#N/A</v>
      </c>
      <c r="H33" s="287" t="e">
        <f>'Solution 1, (hidden)'!R26</f>
        <v>#N/A</v>
      </c>
      <c r="I33" s="287" t="e">
        <f>'Solution  2, (hidden)'!R26</f>
        <v>#N/A</v>
      </c>
      <c r="J33" s="287" t="e">
        <f>'Solution 1, (hidden) (2)'!R26</f>
        <v>#N/A</v>
      </c>
      <c r="K33" s="287" t="e">
        <f>'Solution  2, (hidden) (2)'!R26</f>
        <v>#N/A</v>
      </c>
      <c r="L33" s="30" t="str">
        <f>IF('4. Cash flow '!E33&lt;('2. Inputs and results'!$B$21+1),'Solution 1, (hidden)'!C26-'Solution 1, (hidden)'!M26," ")</f>
        <v xml:space="preserve"> </v>
      </c>
      <c r="M33" s="30" t="str">
        <f>IF(E33&lt;('2. Inputs and results'!$C$21+1),'Solution  2, (hidden)'!C26-'Solution  2, (hidden)'!M26," ")</f>
        <v xml:space="preserve"> </v>
      </c>
      <c r="N33" s="24" t="str">
        <f>IF('4. Cash flow '!E33&lt;('2. Inputs and results'!$B$21+1),'Solution 1, (hidden)'!G26+'Solution 1, (hidden)'!I26+'Solution 1, (hidden)'!H26+'Solution 1, (hidden)'!J26-'Solution 1, (hidden)'!M26," ")</f>
        <v xml:space="preserve"> </v>
      </c>
      <c r="O33" s="24" t="str">
        <f>IF(E33&lt;('2. Inputs and results'!$C$21+1),'Solution  2, (hidden)'!G26+'Solution  2, (hidden)'!I26+'Solution  2, (hidden)'!H26+'Solution  2, (hidden)'!J26-'Solution  2, (hidden)'!M26," ")</f>
        <v xml:space="preserve"> </v>
      </c>
      <c r="P33" s="24" t="str">
        <f>IF('4. Cash flow '!E33&lt;('2. Inputs and results'!$B$21+1),'Solution 1, (hidden) (2)'!G26+'Solution 1, (hidden) (2)'!I26+'Solution 1, (hidden) (2)'!H26+'Solution 1, (hidden) (2)'!J26-'Solution 1, (hidden) (2)'!M26," ")</f>
        <v xml:space="preserve"> </v>
      </c>
      <c r="Q33" s="24" t="str">
        <f>IF(E33&lt;('2. Inputs and results'!$C$21+1),'Solution  2, (hidden) (2)'!G26+'Solution  2, (hidden) (2)'!I26+'Solution  2, (hidden) (2)'!H26+'Solution  2, (hidden) (2)'!J26-'Solution  2, (hidden) (2)'!M26," ")</f>
        <v xml:space="preserve"> </v>
      </c>
    </row>
    <row r="34" spans="3:17" x14ac:dyDescent="0.25">
      <c r="C34" s="285" t="str">
        <f>'Solution 1, (hidden)'!B27</f>
        <v xml:space="preserve"> </v>
      </c>
      <c r="D34" s="285" t="str">
        <f>'Solution  2, (hidden)'!B27</f>
        <v xml:space="preserve"> </v>
      </c>
      <c r="E34" s="285" t="str">
        <f>IF('2. Inputs and results'!$C$21&gt;='2. Inputs and results'!$B$21,'Solution  2, (hidden)'!B27,'Solution 1, (hidden)'!B27)</f>
        <v xml:space="preserve"> </v>
      </c>
      <c r="F34" s="287" t="e">
        <f>'Solution 1, (hidden)'!W27</f>
        <v>#N/A</v>
      </c>
      <c r="G34" s="287" t="e">
        <f>'Solution  2, (hidden)'!W27</f>
        <v>#N/A</v>
      </c>
      <c r="H34" s="287" t="e">
        <f>'Solution 1, (hidden)'!R27</f>
        <v>#N/A</v>
      </c>
      <c r="I34" s="287" t="e">
        <f>'Solution  2, (hidden)'!R27</f>
        <v>#N/A</v>
      </c>
      <c r="J34" s="287" t="e">
        <f>'Solution 1, (hidden) (2)'!R27</f>
        <v>#N/A</v>
      </c>
      <c r="K34" s="287" t="e">
        <f>'Solution  2, (hidden) (2)'!R27</f>
        <v>#N/A</v>
      </c>
      <c r="L34" s="30" t="str">
        <f>IF('4. Cash flow '!E34&lt;('2. Inputs and results'!$B$21+1),'Solution 1, (hidden)'!C27-'Solution 1, (hidden)'!M27," ")</f>
        <v xml:space="preserve"> </v>
      </c>
      <c r="M34" s="30" t="str">
        <f>IF(E34&lt;('2. Inputs and results'!$C$21+1),'Solution  2, (hidden)'!C27-'Solution  2, (hidden)'!M27," ")</f>
        <v xml:space="preserve"> </v>
      </c>
      <c r="N34" s="24" t="str">
        <f>IF('4. Cash flow '!E34&lt;('2. Inputs and results'!$B$21+1),'Solution 1, (hidden)'!G27+'Solution 1, (hidden)'!I27+'Solution 1, (hidden)'!H27+'Solution 1, (hidden)'!J27-'Solution 1, (hidden)'!M27," ")</f>
        <v xml:space="preserve"> </v>
      </c>
      <c r="O34" s="24" t="str">
        <f>IF(E34&lt;('2. Inputs and results'!$C$21+1),'Solution  2, (hidden)'!G27+'Solution  2, (hidden)'!I27+'Solution  2, (hidden)'!H27+'Solution  2, (hidden)'!J27-'Solution  2, (hidden)'!M27," ")</f>
        <v xml:space="preserve"> </v>
      </c>
      <c r="P34" s="24" t="str">
        <f>IF('4. Cash flow '!E34&lt;('2. Inputs and results'!$B$21+1),'Solution 1, (hidden) (2)'!G27+'Solution 1, (hidden) (2)'!I27+'Solution 1, (hidden) (2)'!H27+'Solution 1, (hidden) (2)'!J27-'Solution 1, (hidden) (2)'!M27," ")</f>
        <v xml:space="preserve"> </v>
      </c>
      <c r="Q34" s="24" t="str">
        <f>IF(E34&lt;('2. Inputs and results'!$C$21+1),'Solution  2, (hidden) (2)'!G27+'Solution  2, (hidden) (2)'!I27+'Solution  2, (hidden) (2)'!H27+'Solution  2, (hidden) (2)'!J27-'Solution  2, (hidden) (2)'!M27," ")</f>
        <v xml:space="preserve"> </v>
      </c>
    </row>
    <row r="35" spans="3:17" x14ac:dyDescent="0.25">
      <c r="C35" s="285" t="str">
        <f>'Solution 1, (hidden)'!B28</f>
        <v xml:space="preserve"> </v>
      </c>
      <c r="D35" s="285" t="str">
        <f>'Solution  2, (hidden)'!B28</f>
        <v xml:space="preserve"> </v>
      </c>
      <c r="E35" s="285" t="str">
        <f>IF('2. Inputs and results'!$C$21&gt;='2. Inputs and results'!$B$21,'Solution  2, (hidden)'!B28,'Solution 1, (hidden)'!B28)</f>
        <v xml:space="preserve"> </v>
      </c>
      <c r="F35" s="287" t="e">
        <f>'Solution 1, (hidden)'!W28</f>
        <v>#N/A</v>
      </c>
      <c r="G35" s="287" t="e">
        <f>'Solution  2, (hidden)'!W28</f>
        <v>#N/A</v>
      </c>
      <c r="H35" s="287" t="e">
        <f>'Solution 1, (hidden)'!R28</f>
        <v>#N/A</v>
      </c>
      <c r="I35" s="287" t="e">
        <f>'Solution  2, (hidden)'!R28</f>
        <v>#N/A</v>
      </c>
      <c r="J35" s="287" t="e">
        <f>'Solution 1, (hidden) (2)'!R28</f>
        <v>#N/A</v>
      </c>
      <c r="K35" s="287" t="e">
        <f>'Solution  2, (hidden) (2)'!R28</f>
        <v>#N/A</v>
      </c>
      <c r="L35" s="30" t="str">
        <f>IF('4. Cash flow '!E35&lt;('2. Inputs and results'!$B$21+1),'Solution 1, (hidden)'!C28-'Solution 1, (hidden)'!M28," ")</f>
        <v xml:space="preserve"> </v>
      </c>
      <c r="M35" s="30" t="str">
        <f>IF(E35&lt;('2. Inputs and results'!$C$21+1),'Solution  2, (hidden)'!C28-'Solution  2, (hidden)'!M28," ")</f>
        <v xml:space="preserve"> </v>
      </c>
      <c r="N35" s="24" t="str">
        <f>IF('4. Cash flow '!E35&lt;('2. Inputs and results'!$B$21+1),'Solution 1, (hidden)'!G28+'Solution 1, (hidden)'!I28+'Solution 1, (hidden)'!H28+'Solution 1, (hidden)'!J28-'Solution 1, (hidden)'!M28," ")</f>
        <v xml:space="preserve"> </v>
      </c>
      <c r="O35" s="24" t="str">
        <f>IF(E35&lt;('2. Inputs and results'!$C$21+1),'Solution  2, (hidden)'!G28+'Solution  2, (hidden)'!I28+'Solution  2, (hidden)'!H28+'Solution  2, (hidden)'!J28-'Solution  2, (hidden)'!M28," ")</f>
        <v xml:space="preserve"> </v>
      </c>
      <c r="P35" s="24" t="str">
        <f>IF('4. Cash flow '!E35&lt;('2. Inputs and results'!$B$21+1),'Solution 1, (hidden) (2)'!G28+'Solution 1, (hidden) (2)'!I28+'Solution 1, (hidden) (2)'!H28+'Solution 1, (hidden) (2)'!J28-'Solution 1, (hidden) (2)'!M28," ")</f>
        <v xml:space="preserve"> </v>
      </c>
      <c r="Q35" s="24" t="str">
        <f>IF(E35&lt;('2. Inputs and results'!$C$21+1),'Solution  2, (hidden) (2)'!G28+'Solution  2, (hidden) (2)'!I28+'Solution  2, (hidden) (2)'!H28+'Solution  2, (hidden) (2)'!J28-'Solution  2, (hidden) (2)'!M28," ")</f>
        <v xml:space="preserve"> </v>
      </c>
    </row>
    <row r="36" spans="3:17" x14ac:dyDescent="0.25">
      <c r="C36" s="285" t="str">
        <f>'Solution 1, (hidden)'!B29</f>
        <v xml:space="preserve"> </v>
      </c>
      <c r="D36" s="285" t="str">
        <f>'Solution  2, (hidden)'!B29</f>
        <v xml:space="preserve"> </v>
      </c>
      <c r="E36" s="285" t="str">
        <f>IF('2. Inputs and results'!$C$21&gt;='2. Inputs and results'!$B$21,'Solution  2, (hidden)'!B29,'Solution 1, (hidden)'!B29)</f>
        <v xml:space="preserve"> </v>
      </c>
      <c r="F36" s="287" t="e">
        <f>'Solution 1, (hidden)'!W29</f>
        <v>#N/A</v>
      </c>
      <c r="G36" s="287" t="e">
        <f>'Solution  2, (hidden)'!W29</f>
        <v>#N/A</v>
      </c>
      <c r="H36" s="287" t="e">
        <f>'Solution 1, (hidden)'!R29</f>
        <v>#N/A</v>
      </c>
      <c r="I36" s="287" t="e">
        <f>'Solution  2, (hidden)'!R29</f>
        <v>#N/A</v>
      </c>
      <c r="J36" s="287" t="e">
        <f>'Solution 1, (hidden) (2)'!R29</f>
        <v>#N/A</v>
      </c>
      <c r="K36" s="287" t="e">
        <f>'Solution  2, (hidden) (2)'!R29</f>
        <v>#N/A</v>
      </c>
      <c r="L36" s="30" t="str">
        <f>IF('4. Cash flow '!E36&lt;('2. Inputs and results'!$B$21+1),'Solution 1, (hidden)'!C29-'Solution 1, (hidden)'!M29," ")</f>
        <v xml:space="preserve"> </v>
      </c>
      <c r="M36" s="30" t="str">
        <f>IF(E36&lt;('2. Inputs and results'!$C$21+1),'Solution  2, (hidden)'!C29-'Solution  2, (hidden)'!M29," ")</f>
        <v xml:space="preserve"> </v>
      </c>
      <c r="N36" s="24" t="str">
        <f>IF('4. Cash flow '!E36&lt;('2. Inputs and results'!$B$21+1),'Solution 1, (hidden)'!G29+'Solution 1, (hidden)'!I29+'Solution 1, (hidden)'!H29+'Solution 1, (hidden)'!J29-'Solution 1, (hidden)'!M29," ")</f>
        <v xml:space="preserve"> </v>
      </c>
      <c r="O36" s="24" t="str">
        <f>IF(E36&lt;('2. Inputs and results'!$C$21+1),'Solution  2, (hidden)'!G29+'Solution  2, (hidden)'!I29+'Solution  2, (hidden)'!H29+'Solution  2, (hidden)'!J29-'Solution  2, (hidden)'!M29," ")</f>
        <v xml:space="preserve"> </v>
      </c>
      <c r="P36" s="24" t="str">
        <f>IF('4. Cash flow '!E36&lt;('2. Inputs and results'!$B$21+1),'Solution 1, (hidden) (2)'!G29+'Solution 1, (hidden) (2)'!I29+'Solution 1, (hidden) (2)'!H29+'Solution 1, (hidden) (2)'!J29-'Solution 1, (hidden) (2)'!M29," ")</f>
        <v xml:space="preserve"> </v>
      </c>
      <c r="Q36" s="24" t="str">
        <f>IF(E36&lt;('2. Inputs and results'!$C$21+1),'Solution  2, (hidden) (2)'!G29+'Solution  2, (hidden) (2)'!I29+'Solution  2, (hidden) (2)'!H29+'Solution  2, (hidden) (2)'!J29-'Solution  2, (hidden) (2)'!M29," ")</f>
        <v xml:space="preserve"> </v>
      </c>
    </row>
    <row r="37" spans="3:17" x14ac:dyDescent="0.25">
      <c r="C37" s="285" t="str">
        <f>'Solution 1, (hidden)'!B30</f>
        <v xml:space="preserve"> </v>
      </c>
      <c r="D37" s="285" t="str">
        <f>'Solution  2, (hidden)'!B30</f>
        <v xml:space="preserve"> </v>
      </c>
      <c r="E37" s="285" t="str">
        <f>IF('2. Inputs and results'!$C$21&gt;='2. Inputs and results'!$B$21,'Solution  2, (hidden)'!B30,'Solution 1, (hidden)'!B30)</f>
        <v xml:space="preserve"> </v>
      </c>
      <c r="F37" s="287" t="e">
        <f>'Solution 1, (hidden)'!W30</f>
        <v>#N/A</v>
      </c>
      <c r="G37" s="287" t="e">
        <f>'Solution  2, (hidden)'!W30</f>
        <v>#N/A</v>
      </c>
      <c r="H37" s="287" t="e">
        <f>'Solution 1, (hidden)'!R30</f>
        <v>#N/A</v>
      </c>
      <c r="I37" s="287" t="e">
        <f>'Solution  2, (hidden)'!R30</f>
        <v>#N/A</v>
      </c>
      <c r="J37" s="287" t="e">
        <f>'Solution 1, (hidden) (2)'!R30</f>
        <v>#N/A</v>
      </c>
      <c r="K37" s="287" t="e">
        <f>'Solution  2, (hidden) (2)'!R30</f>
        <v>#N/A</v>
      </c>
      <c r="L37" s="30" t="str">
        <f>IF('4. Cash flow '!E37&lt;('2. Inputs and results'!$B$21+1),'Solution 1, (hidden)'!C30-'Solution 1, (hidden)'!M30," ")</f>
        <v xml:space="preserve"> </v>
      </c>
      <c r="M37" s="30" t="str">
        <f>IF(E37&lt;('2. Inputs and results'!$C$21+1),'Solution  2, (hidden)'!C30-'Solution  2, (hidden)'!M30," ")</f>
        <v xml:space="preserve"> </v>
      </c>
      <c r="N37" s="24" t="str">
        <f>IF('4. Cash flow '!E37&lt;('2. Inputs and results'!$B$21+1),'Solution 1, (hidden)'!G30+'Solution 1, (hidden)'!I30+'Solution 1, (hidden)'!H30+'Solution 1, (hidden)'!J30-'Solution 1, (hidden)'!M30," ")</f>
        <v xml:space="preserve"> </v>
      </c>
      <c r="O37" s="24" t="str">
        <f>IF(E37&lt;('2. Inputs and results'!$C$21+1),'Solution  2, (hidden)'!G30+'Solution  2, (hidden)'!I30+'Solution  2, (hidden)'!H30+'Solution  2, (hidden)'!J30-'Solution  2, (hidden)'!M30," ")</f>
        <v xml:space="preserve"> </v>
      </c>
      <c r="P37" s="24" t="str">
        <f>IF('4. Cash flow '!E37&lt;('2. Inputs and results'!$B$21+1),'Solution 1, (hidden) (2)'!G30+'Solution 1, (hidden) (2)'!I30+'Solution 1, (hidden) (2)'!H30+'Solution 1, (hidden) (2)'!J30-'Solution 1, (hidden) (2)'!M30," ")</f>
        <v xml:space="preserve"> </v>
      </c>
      <c r="Q37" s="24" t="str">
        <f>IF(E37&lt;('2. Inputs and results'!$C$21+1),'Solution  2, (hidden) (2)'!G30+'Solution  2, (hidden) (2)'!I30+'Solution  2, (hidden) (2)'!H30+'Solution  2, (hidden) (2)'!J30-'Solution  2, (hidden) (2)'!M30," ")</f>
        <v xml:space="preserve"> </v>
      </c>
    </row>
    <row r="38" spans="3:17" x14ac:dyDescent="0.25">
      <c r="C38" s="285" t="str">
        <f>'Solution 1, (hidden)'!B31</f>
        <v xml:space="preserve"> </v>
      </c>
      <c r="D38" s="285" t="str">
        <f>'Solution  2, (hidden)'!B31</f>
        <v xml:space="preserve"> </v>
      </c>
      <c r="E38" s="285" t="str">
        <f>IF('2. Inputs and results'!$C$21&gt;='2. Inputs and results'!$B$21,'Solution  2, (hidden)'!B31,'Solution 1, (hidden)'!B31)</f>
        <v xml:space="preserve"> </v>
      </c>
      <c r="F38" s="287" t="e">
        <f>'Solution 1, (hidden)'!W31</f>
        <v>#N/A</v>
      </c>
      <c r="G38" s="287" t="e">
        <f>'Solution  2, (hidden)'!W31</f>
        <v>#N/A</v>
      </c>
      <c r="H38" s="287" t="e">
        <f>'Solution 1, (hidden)'!R31</f>
        <v>#N/A</v>
      </c>
      <c r="I38" s="287" t="e">
        <f>'Solution  2, (hidden)'!R31</f>
        <v>#N/A</v>
      </c>
      <c r="J38" s="287" t="e">
        <f>'Solution 1, (hidden) (2)'!R31</f>
        <v>#N/A</v>
      </c>
      <c r="K38" s="287" t="e">
        <f>'Solution  2, (hidden) (2)'!R31</f>
        <v>#N/A</v>
      </c>
      <c r="L38" s="30" t="str">
        <f>IF('4. Cash flow '!E38&lt;('2. Inputs and results'!$B$21+1),'Solution 1, (hidden)'!C31-'Solution 1, (hidden)'!M31," ")</f>
        <v xml:space="preserve"> </v>
      </c>
      <c r="M38" s="30" t="str">
        <f>IF(E38&lt;('2. Inputs and results'!$C$21+1),'Solution  2, (hidden)'!C31-'Solution  2, (hidden)'!M31," ")</f>
        <v xml:space="preserve"> </v>
      </c>
      <c r="N38" s="24" t="str">
        <f>IF('4. Cash flow '!E38&lt;('2. Inputs and results'!$B$21+1),'Solution 1, (hidden)'!G31+'Solution 1, (hidden)'!I31+'Solution 1, (hidden)'!H31+'Solution 1, (hidden)'!J31-'Solution 1, (hidden)'!M31," ")</f>
        <v xml:space="preserve"> </v>
      </c>
      <c r="O38" s="24" t="str">
        <f>IF(E38&lt;('2. Inputs and results'!$C$21+1),'Solution  2, (hidden)'!G31+'Solution  2, (hidden)'!I31+'Solution  2, (hidden)'!H31+'Solution  2, (hidden)'!J31-'Solution  2, (hidden)'!M31," ")</f>
        <v xml:space="preserve"> </v>
      </c>
      <c r="P38" s="24" t="str">
        <f>IF('4. Cash flow '!E38&lt;('2. Inputs and results'!$B$21+1),'Solution 1, (hidden) (2)'!G31+'Solution 1, (hidden) (2)'!I31+'Solution 1, (hidden) (2)'!H31+'Solution 1, (hidden) (2)'!J31-'Solution 1, (hidden) (2)'!M31," ")</f>
        <v xml:space="preserve"> </v>
      </c>
      <c r="Q38" s="24" t="str">
        <f>IF(E38&lt;('2. Inputs and results'!$C$21+1),'Solution  2, (hidden) (2)'!G31+'Solution  2, (hidden) (2)'!I31+'Solution  2, (hidden) (2)'!H31+'Solution  2, (hidden) (2)'!J31-'Solution  2, (hidden) (2)'!M31," ")</f>
        <v xml:space="preserve"> </v>
      </c>
    </row>
    <row r="39" spans="3:17" x14ac:dyDescent="0.25">
      <c r="C39" s="285" t="str">
        <f>'Solution 1, (hidden)'!B32</f>
        <v xml:space="preserve"> </v>
      </c>
      <c r="D39" s="285" t="str">
        <f>'Solution  2, (hidden)'!B32</f>
        <v xml:space="preserve"> </v>
      </c>
      <c r="E39" s="285" t="str">
        <f>IF('2. Inputs and results'!$C$21&gt;='2. Inputs and results'!$B$21,'Solution  2, (hidden)'!B32,'Solution 1, (hidden)'!B32)</f>
        <v xml:space="preserve"> </v>
      </c>
      <c r="F39" s="287" t="e">
        <f>'Solution 1, (hidden)'!W32</f>
        <v>#N/A</v>
      </c>
      <c r="G39" s="287" t="e">
        <f>'Solution  2, (hidden)'!W32</f>
        <v>#N/A</v>
      </c>
      <c r="H39" s="287" t="e">
        <f>'Solution 1, (hidden)'!R32</f>
        <v>#N/A</v>
      </c>
      <c r="I39" s="287" t="e">
        <f>'Solution  2, (hidden)'!R32</f>
        <v>#N/A</v>
      </c>
      <c r="J39" s="287" t="e">
        <f>'Solution 1, (hidden) (2)'!R32</f>
        <v>#N/A</v>
      </c>
      <c r="K39" s="287" t="e">
        <f>'Solution  2, (hidden) (2)'!R32</f>
        <v>#N/A</v>
      </c>
      <c r="L39" s="30" t="str">
        <f>IF('4. Cash flow '!E39&lt;('2. Inputs and results'!$B$21+1),'Solution 1, (hidden)'!C32-'Solution 1, (hidden)'!M32," ")</f>
        <v xml:space="preserve"> </v>
      </c>
      <c r="M39" s="30" t="str">
        <f>IF(E39&lt;('2. Inputs and results'!$C$21+1),'Solution  2, (hidden)'!C32-'Solution  2, (hidden)'!M32," ")</f>
        <v xml:space="preserve"> </v>
      </c>
      <c r="N39" s="24" t="str">
        <f>IF('4. Cash flow '!E39&lt;('2. Inputs and results'!$B$21+1),'Solution 1, (hidden)'!G32+'Solution 1, (hidden)'!I32+'Solution 1, (hidden)'!H32+'Solution 1, (hidden)'!J32-'Solution 1, (hidden)'!M32," ")</f>
        <v xml:space="preserve"> </v>
      </c>
      <c r="O39" s="24" t="str">
        <f>IF(E39&lt;('2. Inputs and results'!$C$21+1),'Solution  2, (hidden)'!G32+'Solution  2, (hidden)'!I32+'Solution  2, (hidden)'!H32+'Solution  2, (hidden)'!J32-'Solution  2, (hidden)'!M32," ")</f>
        <v xml:space="preserve"> </v>
      </c>
      <c r="P39" s="24" t="str">
        <f>IF('4. Cash flow '!E39&lt;('2. Inputs and results'!$B$21+1),'Solution 1, (hidden) (2)'!G32+'Solution 1, (hidden) (2)'!I32+'Solution 1, (hidden) (2)'!H32+'Solution 1, (hidden) (2)'!J32-'Solution 1, (hidden) (2)'!M32," ")</f>
        <v xml:space="preserve"> </v>
      </c>
      <c r="Q39" s="24" t="str">
        <f>IF(E39&lt;('2. Inputs and results'!$C$21+1),'Solution  2, (hidden) (2)'!G32+'Solution  2, (hidden) (2)'!I32+'Solution  2, (hidden) (2)'!H32+'Solution  2, (hidden) (2)'!J32-'Solution  2, (hidden) (2)'!M32," ")</f>
        <v xml:space="preserve"> </v>
      </c>
    </row>
    <row r="40" spans="3:17" x14ac:dyDescent="0.25">
      <c r="C40" s="285" t="str">
        <f>'Solution 1, (hidden)'!B33</f>
        <v xml:space="preserve"> </v>
      </c>
      <c r="D40" s="285" t="str">
        <f>'Solution  2, (hidden)'!B33</f>
        <v xml:space="preserve"> </v>
      </c>
      <c r="E40" s="285" t="str">
        <f>IF('2. Inputs and results'!$C$21&gt;='2. Inputs and results'!$B$21,'Solution  2, (hidden)'!B33,'Solution 1, (hidden)'!B33)</f>
        <v xml:space="preserve"> </v>
      </c>
      <c r="F40" s="287" t="e">
        <f>'Solution 1, (hidden)'!W33</f>
        <v>#N/A</v>
      </c>
      <c r="G40" s="287" t="e">
        <f>'Solution  2, (hidden)'!W33</f>
        <v>#N/A</v>
      </c>
      <c r="H40" s="287" t="e">
        <f>'Solution 1, (hidden)'!R33</f>
        <v>#N/A</v>
      </c>
      <c r="I40" s="287" t="e">
        <f>'Solution  2, (hidden)'!R33</f>
        <v>#N/A</v>
      </c>
      <c r="J40" s="287" t="e">
        <f>'Solution 1, (hidden) (2)'!R33</f>
        <v>#N/A</v>
      </c>
      <c r="K40" s="287" t="e">
        <f>'Solution  2, (hidden) (2)'!R33</f>
        <v>#N/A</v>
      </c>
      <c r="L40" s="30" t="str">
        <f>IF('4. Cash flow '!E40&lt;('2. Inputs and results'!$B$21+1),'Solution 1, (hidden)'!C33-'Solution 1, (hidden)'!M33," ")</f>
        <v xml:space="preserve"> </v>
      </c>
      <c r="M40" s="30" t="str">
        <f>IF(E40&lt;('2. Inputs and results'!$C$21+1),'Solution  2, (hidden)'!C33-'Solution  2, (hidden)'!M33," ")</f>
        <v xml:space="preserve"> </v>
      </c>
      <c r="N40" s="24" t="str">
        <f>IF('4. Cash flow '!E40&lt;('2. Inputs and results'!$B$21+1),'Solution 1, (hidden)'!G33+'Solution 1, (hidden)'!I33+'Solution 1, (hidden)'!H33+'Solution 1, (hidden)'!J33-'Solution 1, (hidden)'!M33," ")</f>
        <v xml:space="preserve"> </v>
      </c>
      <c r="O40" s="24" t="str">
        <f>IF(E40&lt;('2. Inputs and results'!$C$21+1),'Solution  2, (hidden)'!G33+'Solution  2, (hidden)'!I33+'Solution  2, (hidden)'!H33+'Solution  2, (hidden)'!J33-'Solution  2, (hidden)'!M33," ")</f>
        <v xml:space="preserve"> </v>
      </c>
      <c r="P40" s="24" t="str">
        <f>IF('4. Cash flow '!E40&lt;('2. Inputs and results'!$B$21+1),'Solution 1, (hidden) (2)'!G33+'Solution 1, (hidden) (2)'!I33+'Solution 1, (hidden) (2)'!H33+'Solution 1, (hidden) (2)'!J33-'Solution 1, (hidden) (2)'!M33," ")</f>
        <v xml:space="preserve"> </v>
      </c>
      <c r="Q40" s="24" t="str">
        <f>IF(E40&lt;('2. Inputs and results'!$C$21+1),'Solution  2, (hidden) (2)'!G33+'Solution  2, (hidden) (2)'!I33+'Solution  2, (hidden) (2)'!H33+'Solution  2, (hidden) (2)'!J33-'Solution  2, (hidden) (2)'!M33," ")</f>
        <v xml:space="preserve"> </v>
      </c>
    </row>
    <row r="41" spans="3:17" x14ac:dyDescent="0.25">
      <c r="C41" s="285" t="str">
        <f>'Solution 1, (hidden)'!B34</f>
        <v xml:space="preserve"> </v>
      </c>
      <c r="D41" s="285" t="str">
        <f>'Solution  2, (hidden)'!B34</f>
        <v xml:space="preserve"> </v>
      </c>
      <c r="E41" s="285" t="str">
        <f>IF('2. Inputs and results'!$C$21&gt;='2. Inputs and results'!$B$21,'Solution  2, (hidden)'!B34,'Solution 1, (hidden)'!B34)</f>
        <v xml:space="preserve"> </v>
      </c>
      <c r="F41" s="287" t="e">
        <f>'Solution 1, (hidden)'!W34</f>
        <v>#N/A</v>
      </c>
      <c r="G41" s="287" t="e">
        <f>'Solution  2, (hidden)'!W34</f>
        <v>#N/A</v>
      </c>
      <c r="H41" s="287" t="e">
        <f>'Solution 1, (hidden)'!R34</f>
        <v>#N/A</v>
      </c>
      <c r="I41" s="287" t="e">
        <f>'Solution  2, (hidden)'!R34</f>
        <v>#N/A</v>
      </c>
      <c r="J41" s="287" t="e">
        <f>'Solution 1, (hidden) (2)'!R34</f>
        <v>#N/A</v>
      </c>
      <c r="K41" s="287" t="e">
        <f>'Solution  2, (hidden) (2)'!R34</f>
        <v>#N/A</v>
      </c>
      <c r="L41" s="30" t="str">
        <f>IF('4. Cash flow '!E41&lt;('2. Inputs and results'!$B$21+1),'Solution 1, (hidden)'!C34-'Solution 1, (hidden)'!M34," ")</f>
        <v xml:space="preserve"> </v>
      </c>
      <c r="M41" s="30" t="str">
        <f>IF(E41&lt;('2. Inputs and results'!$C$21+1),'Solution  2, (hidden)'!C34-'Solution  2, (hidden)'!M34," ")</f>
        <v xml:space="preserve"> </v>
      </c>
      <c r="N41" s="24" t="str">
        <f>IF('4. Cash flow '!E41&lt;('2. Inputs and results'!$B$21+1),'Solution 1, (hidden)'!G34+'Solution 1, (hidden)'!I34+'Solution 1, (hidden)'!H34+'Solution 1, (hidden)'!J34-'Solution 1, (hidden)'!M34," ")</f>
        <v xml:space="preserve"> </v>
      </c>
      <c r="O41" s="24" t="str">
        <f>IF(E41&lt;('2. Inputs and results'!$C$21+1),'Solution  2, (hidden)'!G34+'Solution  2, (hidden)'!I34+'Solution  2, (hidden)'!H34+'Solution  2, (hidden)'!J34-'Solution  2, (hidden)'!M34," ")</f>
        <v xml:space="preserve"> </v>
      </c>
      <c r="P41" s="24" t="str">
        <f>IF('4. Cash flow '!E41&lt;('2. Inputs and results'!$B$21+1),'Solution 1, (hidden) (2)'!G34+'Solution 1, (hidden) (2)'!I34+'Solution 1, (hidden) (2)'!H34+'Solution 1, (hidden) (2)'!J34-'Solution 1, (hidden) (2)'!M34," ")</f>
        <v xml:space="preserve"> </v>
      </c>
      <c r="Q41" s="24" t="str">
        <f>IF(E41&lt;('2. Inputs and results'!$C$21+1),'Solution  2, (hidden) (2)'!G34+'Solution  2, (hidden) (2)'!I34+'Solution  2, (hidden) (2)'!H34+'Solution  2, (hidden) (2)'!J34-'Solution  2, (hidden) (2)'!M34," ")</f>
        <v xml:space="preserve"> </v>
      </c>
    </row>
    <row r="42" spans="3:17" x14ac:dyDescent="0.25">
      <c r="C42" s="285" t="str">
        <f>'Solution 1, (hidden)'!B35</f>
        <v xml:space="preserve"> </v>
      </c>
      <c r="D42" s="285" t="str">
        <f>'Solution  2, (hidden)'!B35</f>
        <v xml:space="preserve"> </v>
      </c>
      <c r="E42" s="285" t="str">
        <f>IF('2. Inputs and results'!$C$21&gt;='2. Inputs and results'!$B$21,'Solution  2, (hidden)'!B35,'Solution 1, (hidden)'!B35)</f>
        <v xml:space="preserve"> </v>
      </c>
      <c r="F42" s="287" t="e">
        <f>'Solution 1, (hidden)'!W35</f>
        <v>#N/A</v>
      </c>
      <c r="G42" s="287" t="e">
        <f>'Solution  2, (hidden)'!W35</f>
        <v>#N/A</v>
      </c>
      <c r="H42" s="287" t="e">
        <f>'Solution 1, (hidden)'!R35</f>
        <v>#N/A</v>
      </c>
      <c r="I42" s="287" t="e">
        <f>'Solution  2, (hidden)'!R35</f>
        <v>#N/A</v>
      </c>
      <c r="J42" s="287" t="e">
        <f>'Solution 1, (hidden) (2)'!R35</f>
        <v>#N/A</v>
      </c>
      <c r="K42" s="287" t="e">
        <f>'Solution  2, (hidden) (2)'!R35</f>
        <v>#N/A</v>
      </c>
      <c r="L42" s="30" t="str">
        <f>IF('4. Cash flow '!E42&lt;('2. Inputs and results'!$B$21+1),'Solution 1, (hidden)'!C35-'Solution 1, (hidden)'!M35," ")</f>
        <v xml:space="preserve"> </v>
      </c>
      <c r="M42" s="30" t="str">
        <f>IF(E42&lt;('2. Inputs and results'!$C$21+1),'Solution  2, (hidden)'!C35-'Solution  2, (hidden)'!M35," ")</f>
        <v xml:space="preserve"> </v>
      </c>
      <c r="N42" s="24" t="str">
        <f>IF('4. Cash flow '!E42&lt;('2. Inputs and results'!$B$21+1),'Solution 1, (hidden)'!G35+'Solution 1, (hidden)'!I35+'Solution 1, (hidden)'!H35+'Solution 1, (hidden)'!J35-'Solution 1, (hidden)'!M35," ")</f>
        <v xml:space="preserve"> </v>
      </c>
      <c r="O42" s="24" t="str">
        <f>IF(E42&lt;('2. Inputs and results'!$C$21+1),'Solution  2, (hidden)'!G35+'Solution  2, (hidden)'!I35+'Solution  2, (hidden)'!H35+'Solution  2, (hidden)'!J35-'Solution  2, (hidden)'!M35," ")</f>
        <v xml:space="preserve"> </v>
      </c>
      <c r="P42" s="24" t="str">
        <f>IF('4. Cash flow '!E42&lt;('2. Inputs and results'!$B$21+1),'Solution 1, (hidden) (2)'!G35+'Solution 1, (hidden) (2)'!I35+'Solution 1, (hidden) (2)'!H35+'Solution 1, (hidden) (2)'!J35-'Solution 1, (hidden) (2)'!M35," ")</f>
        <v xml:space="preserve"> </v>
      </c>
      <c r="Q42" s="24" t="str">
        <f>IF(E42&lt;('2. Inputs and results'!$C$21+1),'Solution  2, (hidden) (2)'!G35+'Solution  2, (hidden) (2)'!I35+'Solution  2, (hidden) (2)'!H35+'Solution  2, (hidden) (2)'!J35-'Solution  2, (hidden) (2)'!M35," ")</f>
        <v xml:space="preserve"> </v>
      </c>
    </row>
    <row r="43" spans="3:17" x14ac:dyDescent="0.25">
      <c r="C43" s="285" t="str">
        <f>'Solution 1, (hidden)'!B36</f>
        <v xml:space="preserve"> </v>
      </c>
      <c r="D43" s="285" t="str">
        <f>'Solution  2, (hidden)'!B36</f>
        <v xml:space="preserve"> </v>
      </c>
      <c r="E43" s="285" t="str">
        <f>IF('2. Inputs and results'!$C$21&gt;='2. Inputs and results'!$B$21,'Solution  2, (hidden)'!B36,'Solution 1, (hidden)'!B36)</f>
        <v xml:space="preserve"> </v>
      </c>
      <c r="F43" s="288" t="e">
        <f>'Solution 1, (hidden)'!W36</f>
        <v>#N/A</v>
      </c>
      <c r="G43" s="288" t="e">
        <f>'Solution  2, (hidden)'!W36</f>
        <v>#N/A</v>
      </c>
      <c r="H43" s="288" t="e">
        <f>'Solution 1, (hidden)'!R36</f>
        <v>#N/A</v>
      </c>
      <c r="I43" s="288" t="e">
        <f>'Solution  2, (hidden)'!R36</f>
        <v>#N/A</v>
      </c>
      <c r="J43" s="287" t="e">
        <f>'Solution 1, (hidden) (2)'!R36</f>
        <v>#N/A</v>
      </c>
      <c r="K43" s="287" t="e">
        <f>'Solution  2, (hidden) (2)'!R36</f>
        <v>#N/A</v>
      </c>
      <c r="L43" s="30" t="str">
        <f>IF('4. Cash flow '!E43&lt;('2. Inputs and results'!$B$21+1),'Solution 1, (hidden)'!C36-'Solution 1, (hidden)'!M36," ")</f>
        <v xml:space="preserve"> </v>
      </c>
      <c r="M43" s="30" t="str">
        <f>IF(E43&lt;('2. Inputs and results'!$C$21+1),'Solution  2, (hidden)'!C36-'Solution  2, (hidden)'!M36," ")</f>
        <v xml:space="preserve"> </v>
      </c>
      <c r="N43" s="24" t="str">
        <f>IF('4. Cash flow '!E43&lt;('2. Inputs and results'!$B$21+1),'Solution 1, (hidden)'!G36+'Solution 1, (hidden)'!I36+'Solution 1, (hidden)'!H36+'Solution 1, (hidden)'!J36-'Solution 1, (hidden)'!M36," ")</f>
        <v xml:space="preserve"> </v>
      </c>
      <c r="O43" s="24" t="str">
        <f>IF(E43&lt;('2. Inputs and results'!$C$21+1),'Solution  2, (hidden)'!G36+'Solution  2, (hidden)'!I36+'Solution  2, (hidden)'!H36+'Solution  2, (hidden)'!J36-'Solution  2, (hidden)'!M36," ")</f>
        <v xml:space="preserve"> </v>
      </c>
      <c r="P43" s="24" t="str">
        <f>IF('4. Cash flow '!E43&lt;('2. Inputs and results'!$B$21+1),'Solution 1, (hidden) (2)'!G36+'Solution 1, (hidden) (2)'!I36+'Solution 1, (hidden) (2)'!H36+'Solution 1, (hidden) (2)'!J36-'Solution 1, (hidden) (2)'!M36," ")</f>
        <v xml:space="preserve"> </v>
      </c>
      <c r="Q43" s="24" t="str">
        <f>IF(E43&lt;('2. Inputs and results'!$C$21+1),'Solution  2, (hidden) (2)'!G36+'Solution  2, (hidden) (2)'!I36+'Solution  2, (hidden) (2)'!H36+'Solution  2, (hidden) (2)'!J36-'Solution  2, (hidden) (2)'!M36," ")</f>
        <v xml:space="preserve"> </v>
      </c>
    </row>
    <row r="44" spans="3:17" x14ac:dyDescent="0.25">
      <c r="C44" s="285" t="str">
        <f>'Solution 1, (hidden)'!B37</f>
        <v xml:space="preserve"> </v>
      </c>
      <c r="D44" s="285" t="str">
        <f>'Solution  2, (hidden)'!B37</f>
        <v xml:space="preserve"> </v>
      </c>
      <c r="E44" s="285" t="str">
        <f>IF('2. Inputs and results'!$C$21&gt;='2. Inputs and results'!$B$21,'Solution  2, (hidden)'!B37,'Solution 1, (hidden)'!B37)</f>
        <v xml:space="preserve"> </v>
      </c>
      <c r="F44" s="288" t="e">
        <f>'Solution 1, (hidden)'!W37</f>
        <v>#N/A</v>
      </c>
      <c r="G44" s="288" t="e">
        <f>'Solution  2, (hidden)'!W37</f>
        <v>#N/A</v>
      </c>
      <c r="H44" s="288" t="e">
        <f>'Solution 1, (hidden)'!R37</f>
        <v>#N/A</v>
      </c>
      <c r="I44" s="288" t="e">
        <f>'Solution  2, (hidden)'!R37</f>
        <v>#N/A</v>
      </c>
      <c r="J44" s="287" t="e">
        <f>'Solution 1, (hidden) (2)'!R37</f>
        <v>#N/A</v>
      </c>
      <c r="K44" s="287" t="e">
        <f>'Solution  2, (hidden) (2)'!R37</f>
        <v>#N/A</v>
      </c>
      <c r="L44" s="30" t="str">
        <f>IF('4. Cash flow '!E44&lt;('2. Inputs and results'!$B$21+1),'Solution 1, (hidden)'!C37-'Solution 1, (hidden)'!M37," ")</f>
        <v xml:space="preserve"> </v>
      </c>
      <c r="M44" s="30" t="str">
        <f>IF(E44&lt;('2. Inputs and results'!$C$21+1),'Solution  2, (hidden)'!C37-'Solution  2, (hidden)'!M37," ")</f>
        <v xml:space="preserve"> </v>
      </c>
      <c r="N44" s="24" t="str">
        <f>IF('4. Cash flow '!E44&lt;('2. Inputs and results'!$B$21+1),'Solution 1, (hidden)'!G37+'Solution 1, (hidden)'!I37+'Solution 1, (hidden)'!H37+'Solution 1, (hidden)'!J37-'Solution 1, (hidden)'!M37," ")</f>
        <v xml:space="preserve"> </v>
      </c>
      <c r="O44" s="24" t="str">
        <f>IF(E44&lt;('2. Inputs and results'!$C$21+1),'Solution  2, (hidden)'!G37+'Solution  2, (hidden)'!I37+'Solution  2, (hidden)'!H37+'Solution  2, (hidden)'!J37-'Solution  2, (hidden)'!M37," ")</f>
        <v xml:space="preserve"> </v>
      </c>
      <c r="P44" s="24" t="str">
        <f>IF('4. Cash flow '!E44&lt;('2. Inputs and results'!$B$21+1),'Solution 1, (hidden) (2)'!G37+'Solution 1, (hidden) (2)'!I37+'Solution 1, (hidden) (2)'!H37+'Solution 1, (hidden) (2)'!J37-'Solution 1, (hidden) (2)'!M37," ")</f>
        <v xml:space="preserve"> </v>
      </c>
      <c r="Q44" s="24" t="str">
        <f>IF(E44&lt;('2. Inputs and results'!$C$21+1),'Solution  2, (hidden) (2)'!G37+'Solution  2, (hidden) (2)'!I37+'Solution  2, (hidden) (2)'!H37+'Solution  2, (hidden) (2)'!J37-'Solution  2, (hidden) (2)'!M37," ")</f>
        <v xml:space="preserve"> </v>
      </c>
    </row>
    <row r="45" spans="3:17" x14ac:dyDescent="0.25">
      <c r="C45" s="285" t="str">
        <f>'Solution 1, (hidden)'!B38</f>
        <v xml:space="preserve"> </v>
      </c>
      <c r="D45" s="285" t="str">
        <f>'Solution  2, (hidden)'!B38</f>
        <v xml:space="preserve"> </v>
      </c>
      <c r="E45" s="285" t="str">
        <f>IF('2. Inputs and results'!$C$21&gt;='2. Inputs and results'!$B$21,'Solution  2, (hidden)'!B38,'Solution 1, (hidden)'!B38)</f>
        <v xml:space="preserve"> </v>
      </c>
      <c r="F45" s="288" t="e">
        <f>'Solution 1, (hidden)'!W38</f>
        <v>#N/A</v>
      </c>
      <c r="G45" s="288" t="e">
        <f>'Solution  2, (hidden)'!W38</f>
        <v>#N/A</v>
      </c>
      <c r="H45" s="288" t="e">
        <f>'Solution 1, (hidden)'!R38</f>
        <v>#N/A</v>
      </c>
      <c r="I45" s="288" t="e">
        <f>'Solution  2, (hidden)'!R38</f>
        <v>#N/A</v>
      </c>
      <c r="J45" s="287" t="e">
        <f>'Solution 1, (hidden) (2)'!R38</f>
        <v>#N/A</v>
      </c>
      <c r="K45" s="287" t="e">
        <f>'Solution  2, (hidden) (2)'!R38</f>
        <v>#N/A</v>
      </c>
      <c r="L45" s="30" t="str">
        <f>IF('4. Cash flow '!E45&lt;('2. Inputs and results'!$B$21+1),'Solution 1, (hidden)'!C38-'Solution 1, (hidden)'!M38," ")</f>
        <v xml:space="preserve"> </v>
      </c>
      <c r="M45" s="30" t="str">
        <f>IF(E45&lt;('2. Inputs and results'!$C$21+1),'Solution  2, (hidden)'!C38-'Solution  2, (hidden)'!M38," ")</f>
        <v xml:space="preserve"> </v>
      </c>
      <c r="N45" s="24" t="str">
        <f>IF('4. Cash flow '!E45&lt;('2. Inputs and results'!$B$21+1),'Solution 1, (hidden)'!G38+'Solution 1, (hidden)'!I38+'Solution 1, (hidden)'!H38+'Solution 1, (hidden)'!J38-'Solution 1, (hidden)'!M38," ")</f>
        <v xml:space="preserve"> </v>
      </c>
      <c r="O45" s="24" t="str">
        <f>IF(E45&lt;('2. Inputs and results'!$C$21+1),'Solution  2, (hidden)'!G38+'Solution  2, (hidden)'!I38+'Solution  2, (hidden)'!H38+'Solution  2, (hidden)'!J38-'Solution  2, (hidden)'!M38," ")</f>
        <v xml:space="preserve"> </v>
      </c>
      <c r="P45" s="24" t="str">
        <f>IF('4. Cash flow '!E45&lt;('2. Inputs and results'!$B$21+1),'Solution 1, (hidden) (2)'!G38+'Solution 1, (hidden) (2)'!I38+'Solution 1, (hidden) (2)'!H38+'Solution 1, (hidden) (2)'!J38-'Solution 1, (hidden) (2)'!M38," ")</f>
        <v xml:space="preserve"> </v>
      </c>
      <c r="Q45" s="24" t="str">
        <f>IF(E45&lt;('2. Inputs and results'!$C$21+1),'Solution  2, (hidden) (2)'!G38+'Solution  2, (hidden) (2)'!I38+'Solution  2, (hidden) (2)'!H38+'Solution  2, (hidden) (2)'!J38-'Solution  2, (hidden) (2)'!M38," ")</f>
        <v xml:space="preserve"> </v>
      </c>
    </row>
    <row r="46" spans="3:17" x14ac:dyDescent="0.25">
      <c r="C46" s="285" t="str">
        <f>'Solution 1, (hidden)'!B39</f>
        <v xml:space="preserve"> </v>
      </c>
      <c r="D46" s="285" t="str">
        <f>'Solution  2, (hidden)'!B39</f>
        <v xml:space="preserve"> </v>
      </c>
      <c r="E46" s="285" t="str">
        <f>IF('2. Inputs and results'!$C$21&gt;='2. Inputs and results'!$B$21,'Solution  2, (hidden)'!B39,'Solution 1, (hidden)'!B39)</f>
        <v xml:space="preserve"> </v>
      </c>
      <c r="F46" s="288" t="e">
        <f>'Solution 1, (hidden)'!W39</f>
        <v>#N/A</v>
      </c>
      <c r="G46" s="288" t="e">
        <f>'Solution  2, (hidden)'!W39</f>
        <v>#N/A</v>
      </c>
      <c r="H46" s="288" t="e">
        <f>'Solution 1, (hidden)'!R39</f>
        <v>#N/A</v>
      </c>
      <c r="I46" s="288" t="e">
        <f>'Solution  2, (hidden)'!R39</f>
        <v>#N/A</v>
      </c>
      <c r="J46" s="287" t="e">
        <f>'Solution 1, (hidden) (2)'!R39</f>
        <v>#N/A</v>
      </c>
      <c r="K46" s="287" t="e">
        <f>'Solution  2, (hidden) (2)'!R39</f>
        <v>#N/A</v>
      </c>
      <c r="L46" s="30" t="str">
        <f>IF('4. Cash flow '!E46&lt;('2. Inputs and results'!$B$21+1),'Solution 1, (hidden)'!C39-'Solution 1, (hidden)'!M39," ")</f>
        <v xml:space="preserve"> </v>
      </c>
      <c r="M46" s="30" t="str">
        <f>IF(E46&lt;('2. Inputs and results'!$C$21+1),'Solution  2, (hidden)'!C39-'Solution  2, (hidden)'!M39," ")</f>
        <v xml:space="preserve"> </v>
      </c>
      <c r="N46" s="24" t="str">
        <f>IF('4. Cash flow '!E46&lt;('2. Inputs and results'!$B$21+1),'Solution 1, (hidden)'!G39+'Solution 1, (hidden)'!I39+'Solution 1, (hidden)'!H39+'Solution 1, (hidden)'!J39-'Solution 1, (hidden)'!M39," ")</f>
        <v xml:space="preserve"> </v>
      </c>
      <c r="O46" s="24" t="str">
        <f>IF(E46&lt;('2. Inputs and results'!$C$21+1),'Solution  2, (hidden)'!G39+'Solution  2, (hidden)'!I39+'Solution  2, (hidden)'!H39+'Solution  2, (hidden)'!J39-'Solution  2, (hidden)'!M39," ")</f>
        <v xml:space="preserve"> </v>
      </c>
      <c r="P46" s="24" t="str">
        <f>IF('4. Cash flow '!E46&lt;('2. Inputs and results'!$B$21+1),'Solution 1, (hidden) (2)'!G39+'Solution 1, (hidden) (2)'!I39+'Solution 1, (hidden) (2)'!H39+'Solution 1, (hidden) (2)'!J39-'Solution 1, (hidden) (2)'!M39," ")</f>
        <v xml:space="preserve"> </v>
      </c>
      <c r="Q46" s="24" t="str">
        <f>IF(E46&lt;('2. Inputs and results'!$C$21+1),'Solution  2, (hidden) (2)'!G39+'Solution  2, (hidden) (2)'!I39+'Solution  2, (hidden) (2)'!H39+'Solution  2, (hidden) (2)'!J39-'Solution  2, (hidden) (2)'!M39," ")</f>
        <v xml:space="preserve"> </v>
      </c>
    </row>
    <row r="47" spans="3:17" x14ac:dyDescent="0.25">
      <c r="C47" s="285" t="str">
        <f>'Solution 1, (hidden)'!B40</f>
        <v xml:space="preserve"> </v>
      </c>
      <c r="D47" s="285" t="str">
        <f>'Solution  2, (hidden)'!B40</f>
        <v xml:space="preserve"> </v>
      </c>
      <c r="E47" s="285" t="str">
        <f>IF('2. Inputs and results'!$C$21&gt;='2. Inputs and results'!$B$21,'Solution  2, (hidden)'!B40,'Solution 1, (hidden)'!B40)</f>
        <v xml:space="preserve"> </v>
      </c>
      <c r="F47" s="288" t="e">
        <f>'Solution 1, (hidden)'!W40</f>
        <v>#N/A</v>
      </c>
      <c r="G47" s="288" t="e">
        <f>'Solution  2, (hidden)'!W40</f>
        <v>#N/A</v>
      </c>
      <c r="H47" s="288" t="e">
        <f>'Solution 1, (hidden)'!R40</f>
        <v>#N/A</v>
      </c>
      <c r="I47" s="288" t="e">
        <f>'Solution  2, (hidden)'!R40</f>
        <v>#N/A</v>
      </c>
      <c r="J47" s="287" t="e">
        <f>'Solution 1, (hidden) (2)'!R40</f>
        <v>#N/A</v>
      </c>
      <c r="K47" s="287" t="e">
        <f>'Solution  2, (hidden) (2)'!R40</f>
        <v>#N/A</v>
      </c>
      <c r="L47" s="30" t="str">
        <f>IF('4. Cash flow '!E47&lt;('2. Inputs and results'!$B$21+1),'Solution 1, (hidden)'!C40-'Solution 1, (hidden)'!M40," ")</f>
        <v xml:space="preserve"> </v>
      </c>
      <c r="M47" s="30" t="str">
        <f>IF(E47&lt;('2. Inputs and results'!$C$21+1),'Solution  2, (hidden)'!C40-'Solution  2, (hidden)'!M40," ")</f>
        <v xml:space="preserve"> </v>
      </c>
      <c r="N47" s="24" t="str">
        <f>IF('4. Cash flow '!E47&lt;('2. Inputs and results'!$B$21+1),'Solution 1, (hidden)'!G40+'Solution 1, (hidden)'!I40+'Solution 1, (hidden)'!H40+'Solution 1, (hidden)'!J40-'Solution 1, (hidden)'!M40," ")</f>
        <v xml:space="preserve"> </v>
      </c>
      <c r="O47" s="24" t="str">
        <f>IF(E47&lt;('2. Inputs and results'!$C$21+1),'Solution  2, (hidden)'!G40+'Solution  2, (hidden)'!I40+'Solution  2, (hidden)'!H40+'Solution  2, (hidden)'!J40-'Solution  2, (hidden)'!M40," ")</f>
        <v xml:space="preserve"> </v>
      </c>
      <c r="P47" s="24" t="str">
        <f>IF('4. Cash flow '!E47&lt;('2. Inputs and results'!$B$21+1),'Solution 1, (hidden) (2)'!G40+'Solution 1, (hidden) (2)'!I40+'Solution 1, (hidden) (2)'!H40+'Solution 1, (hidden) (2)'!J40-'Solution 1, (hidden) (2)'!M40," ")</f>
        <v xml:space="preserve"> </v>
      </c>
      <c r="Q47" s="24" t="str">
        <f>IF(E47&lt;('2. Inputs and results'!$C$21+1),'Solution  2, (hidden) (2)'!G40+'Solution  2, (hidden) (2)'!I40+'Solution  2, (hidden) (2)'!H40+'Solution  2, (hidden) (2)'!J40-'Solution  2, (hidden) (2)'!M40," ")</f>
        <v xml:space="preserve"> </v>
      </c>
    </row>
    <row r="48" spans="3:17" x14ac:dyDescent="0.25">
      <c r="C48" s="285" t="str">
        <f>'Solution 1, (hidden)'!B41</f>
        <v xml:space="preserve"> </v>
      </c>
      <c r="D48" s="285" t="str">
        <f>'Solution  2, (hidden)'!B41</f>
        <v xml:space="preserve"> </v>
      </c>
      <c r="E48" s="285" t="str">
        <f>IF('2. Inputs and results'!$C$21&gt;='2. Inputs and results'!$B$21,'Solution  2, (hidden)'!B41,'Solution 1, (hidden)'!B41)</f>
        <v xml:space="preserve"> </v>
      </c>
      <c r="F48" s="288" t="e">
        <f>'Solution 1, (hidden)'!W41</f>
        <v>#N/A</v>
      </c>
      <c r="G48" s="288" t="e">
        <f>'Solution  2, (hidden)'!W41</f>
        <v>#N/A</v>
      </c>
      <c r="H48" s="288" t="e">
        <f>'Solution 1, (hidden)'!R41</f>
        <v>#N/A</v>
      </c>
      <c r="I48" s="288" t="e">
        <f>'Solution  2, (hidden)'!R41</f>
        <v>#N/A</v>
      </c>
      <c r="J48" s="287" t="e">
        <f>'Solution 1, (hidden) (2)'!R41</f>
        <v>#N/A</v>
      </c>
      <c r="K48" s="287" t="e">
        <f>'Solution  2, (hidden) (2)'!R41</f>
        <v>#N/A</v>
      </c>
      <c r="L48" s="30" t="str">
        <f>IF('4. Cash flow '!E48&lt;('2. Inputs and results'!$B$21+1),'Solution 1, (hidden)'!C41-'Solution 1, (hidden)'!M41," ")</f>
        <v xml:space="preserve"> </v>
      </c>
      <c r="M48" s="30" t="str">
        <f>IF(E48&lt;('2. Inputs and results'!$C$21+1),'Solution  2, (hidden)'!C41-'Solution  2, (hidden)'!M41," ")</f>
        <v xml:space="preserve"> </v>
      </c>
      <c r="N48" s="24" t="str">
        <f>IF('4. Cash flow '!E48&lt;('2. Inputs and results'!$B$21+1),'Solution 1, (hidden)'!G41+'Solution 1, (hidden)'!I41+'Solution 1, (hidden)'!H41+'Solution 1, (hidden)'!J41-'Solution 1, (hidden)'!M41," ")</f>
        <v xml:space="preserve"> </v>
      </c>
      <c r="O48" s="24" t="str">
        <f>IF(E48&lt;('2. Inputs and results'!$C$21+1),'Solution  2, (hidden)'!G41+'Solution  2, (hidden)'!I41+'Solution  2, (hidden)'!H41+'Solution  2, (hidden)'!J41-'Solution  2, (hidden)'!M41," ")</f>
        <v xml:space="preserve"> </v>
      </c>
      <c r="P48" s="24" t="str">
        <f>IF('4. Cash flow '!E48&lt;('2. Inputs and results'!$B$21+1),'Solution 1, (hidden) (2)'!G41+'Solution 1, (hidden) (2)'!I41+'Solution 1, (hidden) (2)'!H41+'Solution 1, (hidden) (2)'!J41-'Solution 1, (hidden) (2)'!M41," ")</f>
        <v xml:space="preserve"> </v>
      </c>
      <c r="Q48" s="24" t="str">
        <f>IF(E48&lt;('2. Inputs and results'!$C$21+1),'Solution  2, (hidden) (2)'!G41+'Solution  2, (hidden) (2)'!I41+'Solution  2, (hidden) (2)'!H41+'Solution  2, (hidden) (2)'!J41-'Solution  2, (hidden) (2)'!M41," ")</f>
        <v xml:space="preserve"> </v>
      </c>
    </row>
    <row r="49" spans="3:17" x14ac:dyDescent="0.25">
      <c r="C49" s="285" t="str">
        <f>'Solution 1, (hidden)'!B42</f>
        <v xml:space="preserve"> </v>
      </c>
      <c r="D49" s="285" t="str">
        <f>'Solution  2, (hidden)'!B42</f>
        <v xml:space="preserve"> </v>
      </c>
      <c r="E49" s="285" t="str">
        <f>IF('2. Inputs and results'!$C$21&gt;='2. Inputs and results'!$B$21,'Solution  2, (hidden)'!B42,'Solution 1, (hidden)'!B42)</f>
        <v xml:space="preserve"> </v>
      </c>
      <c r="F49" s="288" t="e">
        <f>'Solution 1, (hidden)'!W42</f>
        <v>#N/A</v>
      </c>
      <c r="G49" s="288" t="e">
        <f>'Solution  2, (hidden)'!W42</f>
        <v>#N/A</v>
      </c>
      <c r="H49" s="288" t="e">
        <f>'Solution 1, (hidden)'!R42</f>
        <v>#N/A</v>
      </c>
      <c r="I49" s="288" t="e">
        <f>'Solution  2, (hidden)'!R42</f>
        <v>#N/A</v>
      </c>
      <c r="J49" s="287" t="e">
        <f>'Solution 1, (hidden) (2)'!R42</f>
        <v>#N/A</v>
      </c>
      <c r="K49" s="287" t="e">
        <f>'Solution  2, (hidden) (2)'!R42</f>
        <v>#N/A</v>
      </c>
      <c r="L49" s="30" t="str">
        <f>IF('4. Cash flow '!E49&lt;('2. Inputs and results'!$B$21+1),'Solution 1, (hidden)'!C42-'Solution 1, (hidden)'!M42," ")</f>
        <v xml:space="preserve"> </v>
      </c>
      <c r="M49" s="30" t="str">
        <f>IF(E49&lt;('2. Inputs and results'!$C$21+1),'Solution  2, (hidden)'!C42-'Solution  2, (hidden)'!M42," ")</f>
        <v xml:space="preserve"> </v>
      </c>
      <c r="N49" s="24" t="str">
        <f>IF('4. Cash flow '!E49&lt;('2. Inputs and results'!$B$21+1),'Solution 1, (hidden)'!G42+'Solution 1, (hidden)'!I42+'Solution 1, (hidden)'!H42+'Solution 1, (hidden)'!J42-'Solution 1, (hidden)'!M42," ")</f>
        <v xml:space="preserve"> </v>
      </c>
      <c r="O49" s="24" t="str">
        <f>IF(E49&lt;('2. Inputs and results'!$C$21+1),'Solution  2, (hidden)'!G42+'Solution  2, (hidden)'!I42+'Solution  2, (hidden)'!H42+'Solution  2, (hidden)'!J42-'Solution  2, (hidden)'!M42," ")</f>
        <v xml:space="preserve"> </v>
      </c>
      <c r="P49" s="24" t="str">
        <f>IF('4. Cash flow '!E49&lt;('2. Inputs and results'!$B$21+1),'Solution 1, (hidden) (2)'!G42+'Solution 1, (hidden) (2)'!I42+'Solution 1, (hidden) (2)'!H42+'Solution 1, (hidden) (2)'!J42-'Solution 1, (hidden) (2)'!M42," ")</f>
        <v xml:space="preserve"> </v>
      </c>
      <c r="Q49" s="24" t="str">
        <f>IF(E49&lt;('2. Inputs and results'!$C$21+1),'Solution  2, (hidden) (2)'!G42+'Solution  2, (hidden) (2)'!I42+'Solution  2, (hidden) (2)'!H42+'Solution  2, (hidden) (2)'!J42-'Solution  2, (hidden) (2)'!M42," ")</f>
        <v xml:space="preserve"> </v>
      </c>
    </row>
    <row r="50" spans="3:17" x14ac:dyDescent="0.25">
      <c r="C50" s="285" t="str">
        <f>'Solution 1, (hidden)'!B43</f>
        <v xml:space="preserve"> </v>
      </c>
      <c r="D50" s="285" t="str">
        <f>'Solution  2, (hidden)'!B43</f>
        <v xml:space="preserve"> </v>
      </c>
      <c r="E50" s="285" t="str">
        <f>IF('2. Inputs and results'!$C$21&gt;='2. Inputs and results'!$B$21,'Solution  2, (hidden)'!B43,'Solution 1, (hidden)'!B43)</f>
        <v xml:space="preserve"> </v>
      </c>
      <c r="F50" s="288" t="e">
        <f>'Solution 1, (hidden)'!W43</f>
        <v>#N/A</v>
      </c>
      <c r="G50" s="288" t="e">
        <f>'Solution  2, (hidden)'!W43</f>
        <v>#N/A</v>
      </c>
      <c r="H50" s="288" t="e">
        <f>'Solution 1, (hidden)'!R43</f>
        <v>#N/A</v>
      </c>
      <c r="I50" s="288" t="e">
        <f>'Solution  2, (hidden)'!R43</f>
        <v>#N/A</v>
      </c>
      <c r="J50" s="287" t="e">
        <f>'Solution 1, (hidden) (2)'!R43</f>
        <v>#N/A</v>
      </c>
      <c r="K50" s="287" t="e">
        <f>'Solution  2, (hidden) (2)'!R43</f>
        <v>#N/A</v>
      </c>
      <c r="L50" s="30" t="str">
        <f>IF('4. Cash flow '!E50&lt;('2. Inputs and results'!$B$21+1),'Solution 1, (hidden)'!C43-'Solution 1, (hidden)'!M43," ")</f>
        <v xml:space="preserve"> </v>
      </c>
      <c r="M50" s="30" t="str">
        <f>IF(E50&lt;('2. Inputs and results'!$C$21+1),'Solution  2, (hidden)'!C43-'Solution  2, (hidden)'!M43," ")</f>
        <v xml:space="preserve"> </v>
      </c>
      <c r="N50" s="24" t="str">
        <f>IF('4. Cash flow '!E50&lt;('2. Inputs and results'!$B$21+1),'Solution 1, (hidden)'!G43+'Solution 1, (hidden)'!I43+'Solution 1, (hidden)'!H43+'Solution 1, (hidden)'!J43-'Solution 1, (hidden)'!M43," ")</f>
        <v xml:space="preserve"> </v>
      </c>
      <c r="O50" s="24" t="str">
        <f>IF(E50&lt;('2. Inputs and results'!$C$21+1),'Solution  2, (hidden)'!G43+'Solution  2, (hidden)'!I43+'Solution  2, (hidden)'!H43+'Solution  2, (hidden)'!J43-'Solution  2, (hidden)'!M43," ")</f>
        <v xml:space="preserve"> </v>
      </c>
      <c r="P50" s="24" t="str">
        <f>IF('4. Cash flow '!E50&lt;('2. Inputs and results'!$B$21+1),'Solution 1, (hidden) (2)'!G43+'Solution 1, (hidden) (2)'!I43+'Solution 1, (hidden) (2)'!H43+'Solution 1, (hidden) (2)'!J43-'Solution 1, (hidden) (2)'!M43," ")</f>
        <v xml:space="preserve"> </v>
      </c>
      <c r="Q50" s="24" t="str">
        <f>IF(E50&lt;('2. Inputs and results'!$C$21+1),'Solution  2, (hidden) (2)'!G43+'Solution  2, (hidden) (2)'!I43+'Solution  2, (hidden) (2)'!H43+'Solution  2, (hidden) (2)'!J43-'Solution  2, (hidden) (2)'!M43," ")</f>
        <v xml:space="preserve"> </v>
      </c>
    </row>
    <row r="51" spans="3:17" x14ac:dyDescent="0.25">
      <c r="C51" s="285" t="str">
        <f>'Solution 1, (hidden)'!B44</f>
        <v xml:space="preserve"> </v>
      </c>
      <c r="D51" s="285" t="str">
        <f>'Solution  2, (hidden)'!B44</f>
        <v xml:space="preserve"> </v>
      </c>
      <c r="E51" s="285" t="str">
        <f>IF('2. Inputs and results'!$C$21&gt;='2. Inputs and results'!$B$21,'Solution  2, (hidden)'!B44,'Solution 1, (hidden)'!B44)</f>
        <v xml:space="preserve"> </v>
      </c>
      <c r="F51" s="288" t="e">
        <f>'Solution 1, (hidden)'!W44</f>
        <v>#N/A</v>
      </c>
      <c r="G51" s="288" t="e">
        <f>'Solution  2, (hidden)'!W44</f>
        <v>#N/A</v>
      </c>
      <c r="H51" s="288" t="e">
        <f>'Solution 1, (hidden)'!R44</f>
        <v>#N/A</v>
      </c>
      <c r="I51" s="288" t="e">
        <f>'Solution  2, (hidden)'!R44</f>
        <v>#N/A</v>
      </c>
      <c r="J51" s="287" t="e">
        <f>'Solution 1, (hidden) (2)'!R44</f>
        <v>#N/A</v>
      </c>
      <c r="K51" s="287" t="e">
        <f>'Solution  2, (hidden) (2)'!R44</f>
        <v>#N/A</v>
      </c>
      <c r="L51" s="30" t="str">
        <f>IF('4. Cash flow '!E51&lt;('2. Inputs and results'!$B$21+1),'Solution 1, (hidden)'!C44-'Solution 1, (hidden)'!M44," ")</f>
        <v xml:space="preserve"> </v>
      </c>
      <c r="M51" s="30" t="str">
        <f>IF(E51&lt;('2. Inputs and results'!$C$21+1),'Solution  2, (hidden)'!C44-'Solution  2, (hidden)'!M44," ")</f>
        <v xml:space="preserve"> </v>
      </c>
      <c r="N51" s="24" t="str">
        <f>IF('4. Cash flow '!E51&lt;('2. Inputs and results'!$B$21+1),'Solution 1, (hidden)'!G44+'Solution 1, (hidden)'!I44+'Solution 1, (hidden)'!H44+'Solution 1, (hidden)'!J44-'Solution 1, (hidden)'!M44," ")</f>
        <v xml:space="preserve"> </v>
      </c>
      <c r="O51" s="24" t="str">
        <f>IF(E51&lt;('2. Inputs and results'!$C$21+1),'Solution  2, (hidden)'!G44+'Solution  2, (hidden)'!I44+'Solution  2, (hidden)'!H44+'Solution  2, (hidden)'!J44-'Solution  2, (hidden)'!M44," ")</f>
        <v xml:space="preserve"> </v>
      </c>
      <c r="P51" s="24" t="str">
        <f>IF('4. Cash flow '!E51&lt;('2. Inputs and results'!$B$21+1),'Solution 1, (hidden) (2)'!G44+'Solution 1, (hidden) (2)'!I44+'Solution 1, (hidden) (2)'!H44+'Solution 1, (hidden) (2)'!J44-'Solution 1, (hidden) (2)'!M44," ")</f>
        <v xml:space="preserve"> </v>
      </c>
      <c r="Q51" s="24" t="str">
        <f>IF(E51&lt;('2. Inputs and results'!$C$21+1),'Solution  2, (hidden) (2)'!G44+'Solution  2, (hidden) (2)'!I44+'Solution  2, (hidden) (2)'!H44+'Solution  2, (hidden) (2)'!J44-'Solution  2, (hidden) (2)'!M44," ")</f>
        <v xml:space="preserve"> </v>
      </c>
    </row>
    <row r="52" spans="3:17" x14ac:dyDescent="0.25">
      <c r="C52" s="285" t="str">
        <f>'Solution 1, (hidden)'!B45</f>
        <v xml:space="preserve"> </v>
      </c>
      <c r="D52" s="285" t="str">
        <f>'Solution  2, (hidden)'!B45</f>
        <v xml:space="preserve"> </v>
      </c>
      <c r="E52" s="285" t="str">
        <f>IF('2. Inputs and results'!$C$21&gt;='2. Inputs and results'!$B$21,'Solution  2, (hidden)'!B45,'Solution 1, (hidden)'!B45)</f>
        <v xml:space="preserve"> </v>
      </c>
      <c r="F52" s="288" t="e">
        <f>'Solution 1, (hidden)'!W45</f>
        <v>#N/A</v>
      </c>
      <c r="G52" s="288" t="e">
        <f>'Solution  2, (hidden)'!W45</f>
        <v>#N/A</v>
      </c>
      <c r="H52" s="288" t="e">
        <f>'Solution 1, (hidden)'!R45</f>
        <v>#N/A</v>
      </c>
      <c r="I52" s="288" t="e">
        <f>'Solution  2, (hidden)'!R45</f>
        <v>#N/A</v>
      </c>
      <c r="J52" s="287" t="e">
        <f>'Solution 1, (hidden) (2)'!R45</f>
        <v>#N/A</v>
      </c>
      <c r="K52" s="287" t="e">
        <f>'Solution  2, (hidden) (2)'!R45</f>
        <v>#N/A</v>
      </c>
      <c r="L52" s="30" t="str">
        <f>IF('4. Cash flow '!E52&lt;('2. Inputs and results'!$B$21+1),'Solution 1, (hidden)'!C45-'Solution 1, (hidden)'!M45," ")</f>
        <v xml:space="preserve"> </v>
      </c>
      <c r="M52" s="30" t="str">
        <f>IF(E52&lt;('2. Inputs and results'!$C$21+1),'Solution  2, (hidden)'!C45-'Solution  2, (hidden)'!M45," ")</f>
        <v xml:space="preserve"> </v>
      </c>
      <c r="N52" s="24" t="str">
        <f>IF('4. Cash flow '!E52&lt;('2. Inputs and results'!$B$21+1),'Solution 1, (hidden)'!G45+'Solution 1, (hidden)'!I45+'Solution 1, (hidden)'!H45+'Solution 1, (hidden)'!J45-'Solution 1, (hidden)'!M45," ")</f>
        <v xml:space="preserve"> </v>
      </c>
      <c r="O52" s="24" t="str">
        <f>IF(E52&lt;('2. Inputs and results'!$C$21+1),'Solution  2, (hidden)'!G45+'Solution  2, (hidden)'!I45+'Solution  2, (hidden)'!H45+'Solution  2, (hidden)'!J45-'Solution  2, (hidden)'!M45," ")</f>
        <v xml:space="preserve"> </v>
      </c>
      <c r="P52" s="24" t="str">
        <f>IF('4. Cash flow '!E52&lt;('2. Inputs and results'!$B$21+1),'Solution 1, (hidden) (2)'!G45+'Solution 1, (hidden) (2)'!I45+'Solution 1, (hidden) (2)'!H45+'Solution 1, (hidden) (2)'!J45-'Solution 1, (hidden) (2)'!M45," ")</f>
        <v xml:space="preserve"> </v>
      </c>
      <c r="Q52" s="24" t="str">
        <f>IF(E52&lt;('2. Inputs and results'!$C$21+1),'Solution  2, (hidden) (2)'!G45+'Solution  2, (hidden) (2)'!I45+'Solution  2, (hidden) (2)'!H45+'Solution  2, (hidden) (2)'!J45-'Solution  2, (hidden) (2)'!M45," ")</f>
        <v xml:space="preserve"> </v>
      </c>
    </row>
    <row r="53" spans="3:17" x14ac:dyDescent="0.25">
      <c r="C53" s="285" t="str">
        <f>'Solution 1, (hidden)'!B46</f>
        <v xml:space="preserve"> </v>
      </c>
      <c r="D53" s="285" t="str">
        <f>'Solution  2, (hidden)'!B46</f>
        <v xml:space="preserve"> </v>
      </c>
      <c r="E53" s="285" t="str">
        <f>IF('2. Inputs and results'!$C$21&gt;='2. Inputs and results'!$B$21,'Solution  2, (hidden)'!B46,'Solution 1, (hidden)'!B46)</f>
        <v xml:space="preserve"> </v>
      </c>
      <c r="F53" s="288" t="e">
        <f>'Solution 1, (hidden)'!W46</f>
        <v>#N/A</v>
      </c>
      <c r="G53" s="288" t="e">
        <f>'Solution  2, (hidden)'!W46</f>
        <v>#N/A</v>
      </c>
      <c r="H53" s="288" t="e">
        <f>'Solution 1, (hidden)'!R46</f>
        <v>#N/A</v>
      </c>
      <c r="I53" s="288" t="e">
        <f>'Solution  2, (hidden)'!R46</f>
        <v>#N/A</v>
      </c>
      <c r="J53" s="287" t="e">
        <f>'Solution 1, (hidden) (2)'!R46</f>
        <v>#N/A</v>
      </c>
      <c r="K53" s="287" t="e">
        <f>'Solution  2, (hidden) (2)'!R46</f>
        <v>#N/A</v>
      </c>
      <c r="L53" s="30" t="str">
        <f>IF('4. Cash flow '!E53&lt;('2. Inputs and results'!$B$21+1),'Solution 1, (hidden)'!C46-'Solution 1, (hidden)'!M46," ")</f>
        <v xml:space="preserve"> </v>
      </c>
      <c r="M53" s="30" t="str">
        <f>IF(E53&lt;('2. Inputs and results'!$C$21+1),'Solution  2, (hidden)'!C46-'Solution  2, (hidden)'!M46," ")</f>
        <v xml:space="preserve"> </v>
      </c>
      <c r="N53" s="24" t="str">
        <f>IF('4. Cash flow '!E53&lt;('2. Inputs and results'!$B$21+1),'Solution 1, (hidden)'!G46+'Solution 1, (hidden)'!I46+'Solution 1, (hidden)'!H46+'Solution 1, (hidden)'!J46-'Solution 1, (hidden)'!M46," ")</f>
        <v xml:space="preserve"> </v>
      </c>
      <c r="O53" s="24" t="str">
        <f>IF(E53&lt;('2. Inputs and results'!$C$21+1),'Solution  2, (hidden)'!G46+'Solution  2, (hidden)'!I46+'Solution  2, (hidden)'!H46+'Solution  2, (hidden)'!J46-'Solution  2, (hidden)'!M46," ")</f>
        <v xml:space="preserve"> </v>
      </c>
      <c r="P53" s="24" t="str">
        <f>IF('4. Cash flow '!E53&lt;('2. Inputs and results'!$B$21+1),'Solution 1, (hidden) (2)'!G46+'Solution 1, (hidden) (2)'!I46+'Solution 1, (hidden) (2)'!H46+'Solution 1, (hidden) (2)'!J46-'Solution 1, (hidden) (2)'!M46," ")</f>
        <v xml:space="preserve"> </v>
      </c>
      <c r="Q53" s="24" t="str">
        <f>IF(E53&lt;('2. Inputs and results'!$C$21+1),'Solution  2, (hidden) (2)'!G46+'Solution  2, (hidden) (2)'!I46+'Solution  2, (hidden) (2)'!H46+'Solution  2, (hidden) (2)'!J46-'Solution  2, (hidden) (2)'!M46," ")</f>
        <v xml:space="preserve"> </v>
      </c>
    </row>
    <row r="54" spans="3:17" x14ac:dyDescent="0.25">
      <c r="C54" s="285" t="str">
        <f>'Solution 1, (hidden)'!B47</f>
        <v xml:space="preserve"> </v>
      </c>
      <c r="D54" s="285" t="str">
        <f>'Solution  2, (hidden)'!B47</f>
        <v xml:space="preserve"> </v>
      </c>
      <c r="E54" s="285" t="str">
        <f>IF('2. Inputs and results'!$C$21&gt;='2. Inputs and results'!$B$21,'Solution  2, (hidden)'!B47,'Solution 1, (hidden)'!B47)</f>
        <v xml:space="preserve"> </v>
      </c>
      <c r="F54" s="288" t="e">
        <f>'Solution 1, (hidden)'!W47</f>
        <v>#N/A</v>
      </c>
      <c r="G54" s="288" t="e">
        <f>'Solution  2, (hidden)'!W47</f>
        <v>#N/A</v>
      </c>
      <c r="H54" s="288" t="e">
        <f>'Solution 1, (hidden)'!R47</f>
        <v>#N/A</v>
      </c>
      <c r="I54" s="288" t="e">
        <f>'Solution  2, (hidden)'!R47</f>
        <v>#N/A</v>
      </c>
      <c r="J54" s="287" t="e">
        <f>'Solution 1, (hidden) (2)'!R47</f>
        <v>#N/A</v>
      </c>
      <c r="K54" s="287" t="e">
        <f>'Solution  2, (hidden) (2)'!R47</f>
        <v>#N/A</v>
      </c>
      <c r="L54" s="30" t="str">
        <f>IF('4. Cash flow '!E54&lt;('2. Inputs and results'!$B$21+1),'Solution 1, (hidden)'!C47-'Solution 1, (hidden)'!M47," ")</f>
        <v xml:space="preserve"> </v>
      </c>
      <c r="M54" s="30" t="str">
        <f>IF(E54&lt;('2. Inputs and results'!$C$21+1),'Solution  2, (hidden)'!C47-'Solution  2, (hidden)'!M47," ")</f>
        <v xml:space="preserve"> </v>
      </c>
      <c r="N54" s="24" t="str">
        <f>IF('4. Cash flow '!E54&lt;('2. Inputs and results'!$B$21+1),'Solution 1, (hidden)'!G47+'Solution 1, (hidden)'!I47+'Solution 1, (hidden)'!H47+'Solution 1, (hidden)'!J47-'Solution 1, (hidden)'!M47," ")</f>
        <v xml:space="preserve"> </v>
      </c>
      <c r="O54" s="24" t="str">
        <f>IF(E54&lt;('2. Inputs and results'!$C$21+1),'Solution  2, (hidden)'!G47+'Solution  2, (hidden)'!I47+'Solution  2, (hidden)'!H47+'Solution  2, (hidden)'!J47-'Solution  2, (hidden)'!M47," ")</f>
        <v xml:space="preserve"> </v>
      </c>
      <c r="P54" s="24" t="str">
        <f>IF('4. Cash flow '!E54&lt;('2. Inputs and results'!$B$21+1),'Solution 1, (hidden) (2)'!G47+'Solution 1, (hidden) (2)'!I47+'Solution 1, (hidden) (2)'!H47+'Solution 1, (hidden) (2)'!J47-'Solution 1, (hidden) (2)'!M47," ")</f>
        <v xml:space="preserve"> </v>
      </c>
      <c r="Q54" s="24" t="str">
        <f>IF(E54&lt;('2. Inputs and results'!$C$21+1),'Solution  2, (hidden) (2)'!G47+'Solution  2, (hidden) (2)'!I47+'Solution  2, (hidden) (2)'!H47+'Solution  2, (hidden) (2)'!J47-'Solution  2, (hidden) (2)'!M47," ")</f>
        <v xml:space="preserve"> </v>
      </c>
    </row>
    <row r="55" spans="3:17" x14ac:dyDescent="0.25">
      <c r="C55" s="285" t="str">
        <f>'Solution 1, (hidden)'!B48</f>
        <v xml:space="preserve"> </v>
      </c>
      <c r="D55" s="285" t="str">
        <f>'Solution  2, (hidden)'!B48</f>
        <v xml:space="preserve"> </v>
      </c>
      <c r="E55" s="285" t="str">
        <f>IF('2. Inputs and results'!$C$21&gt;='2. Inputs and results'!$B$21,'Solution  2, (hidden)'!B48,'Solution 1, (hidden)'!B48)</f>
        <v xml:space="preserve"> </v>
      </c>
      <c r="F55" s="288" t="e">
        <f>'Solution 1, (hidden)'!W48</f>
        <v>#N/A</v>
      </c>
      <c r="G55" s="288" t="e">
        <f>'Solution  2, (hidden)'!W48</f>
        <v>#N/A</v>
      </c>
      <c r="H55" s="288" t="e">
        <f>'Solution 1, (hidden)'!R48</f>
        <v>#N/A</v>
      </c>
      <c r="I55" s="288" t="e">
        <f>'Solution  2, (hidden)'!R48</f>
        <v>#N/A</v>
      </c>
      <c r="J55" s="287" t="e">
        <f>'Solution 1, (hidden) (2)'!R48</f>
        <v>#N/A</v>
      </c>
      <c r="K55" s="287" t="e">
        <f>'Solution  2, (hidden) (2)'!R48</f>
        <v>#N/A</v>
      </c>
      <c r="L55" s="30" t="str">
        <f>IF('4. Cash flow '!E55&lt;('2. Inputs and results'!$B$21+1),'Solution 1, (hidden)'!C48-'Solution 1, (hidden)'!M48," ")</f>
        <v xml:space="preserve"> </v>
      </c>
      <c r="M55" s="30" t="str">
        <f>IF(E55&lt;('2. Inputs and results'!$C$21+1),'Solution  2, (hidden)'!C48-'Solution  2, (hidden)'!M48," ")</f>
        <v xml:space="preserve"> </v>
      </c>
      <c r="N55" s="24" t="str">
        <f>IF('4. Cash flow '!E55&lt;('2. Inputs and results'!$B$21+1),'Solution 1, (hidden)'!G48+'Solution 1, (hidden)'!I48+'Solution 1, (hidden)'!H48+'Solution 1, (hidden)'!J48-'Solution 1, (hidden)'!M48," ")</f>
        <v xml:space="preserve"> </v>
      </c>
      <c r="O55" s="24" t="str">
        <f>IF(E55&lt;('2. Inputs and results'!$C$21+1),'Solution  2, (hidden)'!G48+'Solution  2, (hidden)'!I48+'Solution  2, (hidden)'!H48+'Solution  2, (hidden)'!J48-'Solution  2, (hidden)'!M48," ")</f>
        <v xml:space="preserve"> </v>
      </c>
      <c r="P55" s="24" t="str">
        <f>IF('4. Cash flow '!E55&lt;('2. Inputs and results'!$B$21+1),'Solution 1, (hidden) (2)'!G48+'Solution 1, (hidden) (2)'!I48+'Solution 1, (hidden) (2)'!H48+'Solution 1, (hidden) (2)'!J48-'Solution 1, (hidden) (2)'!M48," ")</f>
        <v xml:space="preserve"> </v>
      </c>
      <c r="Q55" s="24" t="str">
        <f>IF(E55&lt;('2. Inputs and results'!$C$21+1),'Solution  2, (hidden) (2)'!G48+'Solution  2, (hidden) (2)'!I48+'Solution  2, (hidden) (2)'!H48+'Solution  2, (hidden) (2)'!J48-'Solution  2, (hidden) (2)'!M48," ")</f>
        <v xml:space="preserve"> </v>
      </c>
    </row>
    <row r="56" spans="3:17" x14ac:dyDescent="0.25">
      <c r="C56" s="285" t="str">
        <f>'Solution 1, (hidden)'!B49</f>
        <v xml:space="preserve"> </v>
      </c>
      <c r="D56" s="285" t="str">
        <f>'Solution  2, (hidden)'!B49</f>
        <v xml:space="preserve"> </v>
      </c>
      <c r="E56" s="285" t="str">
        <f>IF('2. Inputs and results'!$C$21&gt;='2. Inputs and results'!$B$21,'Solution  2, (hidden)'!B49,'Solution 1, (hidden)'!B49)</f>
        <v xml:space="preserve"> </v>
      </c>
      <c r="F56" s="288" t="e">
        <f>'Solution 1, (hidden)'!W49</f>
        <v>#N/A</v>
      </c>
      <c r="G56" s="288" t="e">
        <f>'Solution  2, (hidden)'!W49</f>
        <v>#N/A</v>
      </c>
      <c r="H56" s="288" t="e">
        <f>'Solution 1, (hidden)'!R49</f>
        <v>#N/A</v>
      </c>
      <c r="I56" s="288" t="e">
        <f>'Solution  2, (hidden)'!R49</f>
        <v>#N/A</v>
      </c>
      <c r="J56" s="287" t="e">
        <f>'Solution 1, (hidden) (2)'!R49</f>
        <v>#N/A</v>
      </c>
      <c r="K56" s="287" t="e">
        <f>'Solution  2, (hidden) (2)'!R49</f>
        <v>#N/A</v>
      </c>
      <c r="L56" s="30" t="str">
        <f>IF('4. Cash flow '!E56&lt;('2. Inputs and results'!$B$21+1),'Solution 1, (hidden)'!C49-'Solution 1, (hidden)'!M49," ")</f>
        <v xml:space="preserve"> </v>
      </c>
      <c r="M56" s="30" t="str">
        <f>IF(E56&lt;('2. Inputs and results'!$C$21+1),'Solution  2, (hidden)'!C49-'Solution  2, (hidden)'!M49," ")</f>
        <v xml:space="preserve"> </v>
      </c>
      <c r="N56" s="24" t="str">
        <f>IF('4. Cash flow '!E56&lt;('2. Inputs and results'!$B$21+1),'Solution 1, (hidden)'!G49+'Solution 1, (hidden)'!I49+'Solution 1, (hidden)'!H49+'Solution 1, (hidden)'!J49-'Solution 1, (hidden)'!M49," ")</f>
        <v xml:space="preserve"> </v>
      </c>
      <c r="O56" s="24" t="str">
        <f>IF(E56&lt;('2. Inputs and results'!$C$21+1),'Solution  2, (hidden)'!G49+'Solution  2, (hidden)'!I49+'Solution  2, (hidden)'!H49+'Solution  2, (hidden)'!J49-'Solution  2, (hidden)'!M49," ")</f>
        <v xml:space="preserve"> </v>
      </c>
      <c r="P56" s="24" t="str">
        <f>IF('4. Cash flow '!E56&lt;('2. Inputs and results'!$B$21+1),'Solution 1, (hidden) (2)'!G49+'Solution 1, (hidden) (2)'!I49+'Solution 1, (hidden) (2)'!H49+'Solution 1, (hidden) (2)'!J49-'Solution 1, (hidden) (2)'!M49," ")</f>
        <v xml:space="preserve"> </v>
      </c>
      <c r="Q56" s="24" t="str">
        <f>IF(E56&lt;('2. Inputs and results'!$C$21+1),'Solution  2, (hidden) (2)'!G49+'Solution  2, (hidden) (2)'!I49+'Solution  2, (hidden) (2)'!H49+'Solution  2, (hidden) (2)'!J49-'Solution  2, (hidden) (2)'!M49," ")</f>
        <v xml:space="preserve"> </v>
      </c>
    </row>
    <row r="57" spans="3:17" x14ac:dyDescent="0.25">
      <c r="C57" s="285" t="str">
        <f>'Solution 1, (hidden)'!B50</f>
        <v xml:space="preserve"> </v>
      </c>
      <c r="D57" s="285" t="str">
        <f>'Solution  2, (hidden)'!B50</f>
        <v xml:space="preserve"> </v>
      </c>
      <c r="E57" s="285" t="str">
        <f>IF('2. Inputs and results'!$C$21&gt;='2. Inputs and results'!$B$21,'Solution  2, (hidden)'!B50,'Solution 1, (hidden)'!B50)</f>
        <v xml:space="preserve"> </v>
      </c>
      <c r="F57" s="288" t="e">
        <f>'Solution 1, (hidden)'!W50</f>
        <v>#N/A</v>
      </c>
      <c r="G57" s="288" t="e">
        <f>'Solution  2, (hidden)'!W50</f>
        <v>#N/A</v>
      </c>
      <c r="H57" s="288" t="e">
        <f>'Solution 1, (hidden)'!R50</f>
        <v>#N/A</v>
      </c>
      <c r="I57" s="288" t="e">
        <f>'Solution  2, (hidden)'!R50</f>
        <v>#N/A</v>
      </c>
      <c r="J57" s="287" t="e">
        <f>'Solution 1, (hidden) (2)'!R50</f>
        <v>#N/A</v>
      </c>
      <c r="K57" s="287" t="e">
        <f>'Solution  2, (hidden) (2)'!R50</f>
        <v>#N/A</v>
      </c>
      <c r="L57" s="30" t="str">
        <f>IF('4. Cash flow '!E57&lt;('2. Inputs and results'!$B$21+1),'Solution 1, (hidden)'!C50-'Solution 1, (hidden)'!M50," ")</f>
        <v xml:space="preserve"> </v>
      </c>
      <c r="M57" s="30" t="str">
        <f>IF(E57&lt;('2. Inputs and results'!$C$21+1),'Solution  2, (hidden)'!C50-'Solution  2, (hidden)'!M50," ")</f>
        <v xml:space="preserve"> </v>
      </c>
      <c r="N57" s="24" t="str">
        <f>IF('4. Cash flow '!E57&lt;('2. Inputs and results'!$B$21+1),'Solution 1, (hidden)'!G50+'Solution 1, (hidden)'!I50+'Solution 1, (hidden)'!H50+'Solution 1, (hidden)'!J50-'Solution 1, (hidden)'!M50," ")</f>
        <v xml:space="preserve"> </v>
      </c>
      <c r="O57" s="24" t="str">
        <f>IF(E57&lt;('2. Inputs and results'!$C$21+1),'Solution  2, (hidden)'!G50+'Solution  2, (hidden)'!I50+'Solution  2, (hidden)'!H50+'Solution  2, (hidden)'!J50-'Solution  2, (hidden)'!M50," ")</f>
        <v xml:space="preserve"> </v>
      </c>
      <c r="P57" s="24" t="str">
        <f>IF('4. Cash flow '!E57&lt;('2. Inputs and results'!$B$21+1),'Solution 1, (hidden) (2)'!G50+'Solution 1, (hidden) (2)'!I50+'Solution 1, (hidden) (2)'!H50+'Solution 1, (hidden) (2)'!J50-'Solution 1, (hidden) (2)'!M50," ")</f>
        <v xml:space="preserve"> </v>
      </c>
      <c r="Q57" s="24" t="str">
        <f>IF(E57&lt;('2. Inputs and results'!$C$21+1),'Solution  2, (hidden) (2)'!G50+'Solution  2, (hidden) (2)'!I50+'Solution  2, (hidden) (2)'!H50+'Solution  2, (hidden) (2)'!J50-'Solution  2, (hidden) (2)'!M50," ")</f>
        <v xml:space="preserve"> </v>
      </c>
    </row>
    <row r="58" spans="3:17" x14ac:dyDescent="0.25">
      <c r="C58" s="285" t="str">
        <f>'Solution 1, (hidden)'!B51</f>
        <v xml:space="preserve"> </v>
      </c>
      <c r="D58" s="285" t="str">
        <f>'Solution  2, (hidden)'!B51</f>
        <v xml:space="preserve"> </v>
      </c>
      <c r="E58" s="285" t="str">
        <f>IF('2. Inputs and results'!$C$21&gt;='2. Inputs and results'!$B$21,'Solution  2, (hidden)'!B51,'Solution 1, (hidden)'!B51)</f>
        <v xml:space="preserve"> </v>
      </c>
      <c r="F58" s="288" t="e">
        <f>'Solution 1, (hidden)'!W51</f>
        <v>#N/A</v>
      </c>
      <c r="G58" s="288" t="e">
        <f>'Solution  2, (hidden)'!W51</f>
        <v>#N/A</v>
      </c>
      <c r="H58" s="288" t="e">
        <f>'Solution 1, (hidden)'!R51</f>
        <v>#N/A</v>
      </c>
      <c r="I58" s="288" t="e">
        <f>'Solution  2, (hidden)'!R51</f>
        <v>#N/A</v>
      </c>
      <c r="J58" s="287" t="e">
        <f>'Solution 1, (hidden) (2)'!R51</f>
        <v>#N/A</v>
      </c>
      <c r="K58" s="287" t="e">
        <f>'Solution  2, (hidden) (2)'!R51</f>
        <v>#N/A</v>
      </c>
      <c r="L58" s="30" t="str">
        <f>IF('4. Cash flow '!E58&lt;('2. Inputs and results'!$B$21+1),'Solution 1, (hidden)'!C51-'Solution 1, (hidden)'!M51," ")</f>
        <v xml:space="preserve"> </v>
      </c>
      <c r="M58" s="30" t="str">
        <f>IF(E58&lt;('2. Inputs and results'!$C$21+1),'Solution  2, (hidden)'!C51-'Solution  2, (hidden)'!M51," ")</f>
        <v xml:space="preserve"> </v>
      </c>
      <c r="N58" s="24" t="str">
        <f>IF('4. Cash flow '!E58&lt;('2. Inputs and results'!$B$21+1),'Solution 1, (hidden)'!G51+'Solution 1, (hidden)'!I51+'Solution 1, (hidden)'!H51+'Solution 1, (hidden)'!J51-'Solution 1, (hidden)'!M51," ")</f>
        <v xml:space="preserve"> </v>
      </c>
      <c r="O58" s="24" t="str">
        <f>IF(E58&lt;('2. Inputs and results'!$C$21+1),'Solution  2, (hidden)'!G51+'Solution  2, (hidden)'!I51+'Solution  2, (hidden)'!H51+'Solution  2, (hidden)'!J51-'Solution  2, (hidden)'!M51," ")</f>
        <v xml:space="preserve"> </v>
      </c>
      <c r="P58" s="24" t="str">
        <f>IF('4. Cash flow '!E58&lt;('2. Inputs and results'!$B$21+1),'Solution 1, (hidden) (2)'!G51+'Solution 1, (hidden) (2)'!I51+'Solution 1, (hidden) (2)'!H51+'Solution 1, (hidden) (2)'!J51-'Solution 1, (hidden) (2)'!M51," ")</f>
        <v xml:space="preserve"> </v>
      </c>
      <c r="Q58" s="24" t="str">
        <f>IF(E58&lt;('2. Inputs and results'!$C$21+1),'Solution  2, (hidden) (2)'!G51+'Solution  2, (hidden) (2)'!I51+'Solution  2, (hidden) (2)'!H51+'Solution  2, (hidden) (2)'!J51-'Solution  2, (hidden) (2)'!M51," ")</f>
        <v xml:space="preserve"> </v>
      </c>
    </row>
    <row r="59" spans="3:17" x14ac:dyDescent="0.25">
      <c r="C59" s="285" t="str">
        <f>'Solution 1, (hidden)'!B52</f>
        <v xml:space="preserve"> </v>
      </c>
      <c r="D59" s="285" t="str">
        <f>'Solution  2, (hidden)'!B52</f>
        <v xml:space="preserve"> </v>
      </c>
      <c r="E59" s="285" t="str">
        <f>IF('2. Inputs and results'!$C$21&gt;='2. Inputs and results'!$B$21,'Solution  2, (hidden)'!B52,'Solution 1, (hidden)'!B52)</f>
        <v xml:space="preserve"> </v>
      </c>
      <c r="F59" s="288" t="e">
        <f>'Solution 1, (hidden)'!W52</f>
        <v>#N/A</v>
      </c>
      <c r="G59" s="288" t="e">
        <f>'Solution  2, (hidden)'!W52</f>
        <v>#N/A</v>
      </c>
      <c r="H59" s="288" t="e">
        <f>'Solution 1, (hidden)'!R52</f>
        <v>#N/A</v>
      </c>
      <c r="I59" s="288" t="e">
        <f>'Solution  2, (hidden)'!R52</f>
        <v>#N/A</v>
      </c>
      <c r="J59" s="287" t="e">
        <f>'Solution 1, (hidden) (2)'!R52</f>
        <v>#N/A</v>
      </c>
      <c r="K59" s="287" t="e">
        <f>'Solution  2, (hidden) (2)'!R52</f>
        <v>#N/A</v>
      </c>
      <c r="L59" s="30" t="str">
        <f>IF('4. Cash flow '!E59&lt;('2. Inputs and results'!$B$21+1),'Solution 1, (hidden)'!C52-'Solution 1, (hidden)'!M52," ")</f>
        <v xml:space="preserve"> </v>
      </c>
      <c r="M59" s="30" t="str">
        <f>IF(E59&lt;('2. Inputs and results'!$C$21+1),'Solution  2, (hidden)'!C52-'Solution  2, (hidden)'!M52," ")</f>
        <v xml:space="preserve"> </v>
      </c>
      <c r="N59" s="24" t="str">
        <f>IF('4. Cash flow '!E59&lt;('2. Inputs and results'!$B$21+1),'Solution 1, (hidden)'!G52+'Solution 1, (hidden)'!I52+'Solution 1, (hidden)'!H52+'Solution 1, (hidden)'!J52-'Solution 1, (hidden)'!M52," ")</f>
        <v xml:space="preserve"> </v>
      </c>
      <c r="O59" s="24" t="str">
        <f>IF(E59&lt;('2. Inputs and results'!$C$21+1),'Solution  2, (hidden)'!G52+'Solution  2, (hidden)'!I52+'Solution  2, (hidden)'!H52+'Solution  2, (hidden)'!J52-'Solution  2, (hidden)'!M52," ")</f>
        <v xml:space="preserve"> </v>
      </c>
      <c r="P59" s="24" t="str">
        <f>IF('4. Cash flow '!E59&lt;('2. Inputs and results'!$B$21+1),'Solution 1, (hidden) (2)'!G52+'Solution 1, (hidden) (2)'!I52+'Solution 1, (hidden) (2)'!H52+'Solution 1, (hidden) (2)'!J52-'Solution 1, (hidden) (2)'!M52," ")</f>
        <v xml:space="preserve"> </v>
      </c>
      <c r="Q59" s="24" t="str">
        <f>IF(E59&lt;('2. Inputs and results'!$C$21+1),'Solution  2, (hidden) (2)'!G52+'Solution  2, (hidden) (2)'!I52+'Solution  2, (hidden) (2)'!H52+'Solution  2, (hidden) (2)'!J52-'Solution  2, (hidden) (2)'!M52," ")</f>
        <v xml:space="preserve"> </v>
      </c>
    </row>
    <row r="60" spans="3:17" x14ac:dyDescent="0.25">
      <c r="C60" s="285" t="str">
        <f>'Solution 1, (hidden)'!B53</f>
        <v xml:space="preserve"> </v>
      </c>
      <c r="D60" s="285" t="str">
        <f>'Solution  2, (hidden)'!B53</f>
        <v xml:space="preserve"> </v>
      </c>
      <c r="E60" s="285" t="str">
        <f>IF('2. Inputs and results'!$C$21&gt;='2. Inputs and results'!$B$21,'Solution  2, (hidden)'!B53,'Solution 1, (hidden)'!B53)</f>
        <v xml:space="preserve"> </v>
      </c>
      <c r="F60" s="288" t="e">
        <f>'Solution 1, (hidden)'!W53</f>
        <v>#N/A</v>
      </c>
      <c r="G60" s="288" t="e">
        <f>'Solution  2, (hidden)'!W53</f>
        <v>#N/A</v>
      </c>
      <c r="H60" s="288" t="e">
        <f>'Solution 1, (hidden)'!R53</f>
        <v>#N/A</v>
      </c>
      <c r="I60" s="288" t="e">
        <f>'Solution  2, (hidden)'!R53</f>
        <v>#N/A</v>
      </c>
      <c r="J60" s="287" t="e">
        <f>'Solution 1, (hidden) (2)'!R53</f>
        <v>#N/A</v>
      </c>
      <c r="K60" s="287" t="e">
        <f>'Solution  2, (hidden) (2)'!R53</f>
        <v>#N/A</v>
      </c>
      <c r="L60" s="30" t="str">
        <f>IF('4. Cash flow '!E60&lt;('2. Inputs and results'!$B$21+1),'Solution 1, (hidden)'!C53-'Solution 1, (hidden)'!M53," ")</f>
        <v xml:space="preserve"> </v>
      </c>
      <c r="M60" s="30" t="str">
        <f>IF(E60&lt;('2. Inputs and results'!$C$21+1),'Solution  2, (hidden)'!C53-'Solution  2, (hidden)'!M53," ")</f>
        <v xml:space="preserve"> </v>
      </c>
      <c r="N60" s="24" t="str">
        <f>IF('4. Cash flow '!E60&lt;('2. Inputs and results'!$B$21+1),'Solution 1, (hidden)'!G53+'Solution 1, (hidden)'!I53+'Solution 1, (hidden)'!H53+'Solution 1, (hidden)'!J53-'Solution 1, (hidden)'!M53," ")</f>
        <v xml:space="preserve"> </v>
      </c>
      <c r="O60" s="24" t="str">
        <f>IF(E60&lt;('2. Inputs and results'!$C$21+1),'Solution  2, (hidden)'!G53+'Solution  2, (hidden)'!I53+'Solution  2, (hidden)'!H53+'Solution  2, (hidden)'!J53-'Solution  2, (hidden)'!M53," ")</f>
        <v xml:space="preserve"> </v>
      </c>
      <c r="P60" s="24" t="str">
        <f>IF('4. Cash flow '!E60&lt;('2. Inputs and results'!$B$21+1),'Solution 1, (hidden) (2)'!G53+'Solution 1, (hidden) (2)'!I53+'Solution 1, (hidden) (2)'!H53+'Solution 1, (hidden) (2)'!J53-'Solution 1, (hidden) (2)'!M53," ")</f>
        <v xml:space="preserve"> </v>
      </c>
      <c r="Q60" s="24" t="str">
        <f>IF(E60&lt;('2. Inputs and results'!$C$21+1),'Solution  2, (hidden) (2)'!G53+'Solution  2, (hidden) (2)'!I53+'Solution  2, (hidden) (2)'!H53+'Solution  2, (hidden) (2)'!J53-'Solution  2, (hidden) (2)'!M53," ")</f>
        <v xml:space="preserve"> </v>
      </c>
    </row>
    <row r="61" spans="3:17" x14ac:dyDescent="0.25">
      <c r="C61" s="285" t="str">
        <f>'Solution 1, (hidden)'!B54</f>
        <v xml:space="preserve"> </v>
      </c>
      <c r="D61" s="285" t="str">
        <f>'Solution  2, (hidden)'!B54</f>
        <v xml:space="preserve"> </v>
      </c>
      <c r="E61" s="285" t="str">
        <f>IF('2. Inputs and results'!$C$21&gt;='2. Inputs and results'!$B$21,'Solution  2, (hidden)'!B54,'Solution 1, (hidden)'!B54)</f>
        <v xml:space="preserve"> </v>
      </c>
      <c r="F61" s="288" t="e">
        <f>'Solution 1, (hidden)'!W54</f>
        <v>#N/A</v>
      </c>
      <c r="G61" s="288" t="e">
        <f>'Solution  2, (hidden)'!W54</f>
        <v>#N/A</v>
      </c>
      <c r="H61" s="288" t="e">
        <f>'Solution 1, (hidden)'!R54</f>
        <v>#N/A</v>
      </c>
      <c r="I61" s="288" t="e">
        <f>'Solution  2, (hidden)'!R54</f>
        <v>#N/A</v>
      </c>
      <c r="J61" s="287" t="e">
        <f>'Solution 1, (hidden) (2)'!R54</f>
        <v>#N/A</v>
      </c>
      <c r="K61" s="287" t="e">
        <f>'Solution  2, (hidden) (2)'!R54</f>
        <v>#N/A</v>
      </c>
      <c r="L61" s="30" t="str">
        <f>IF('4. Cash flow '!E61&lt;('2. Inputs and results'!$B$21+1),'Solution 1, (hidden)'!C54-'Solution 1, (hidden)'!M54," ")</f>
        <v xml:space="preserve"> </v>
      </c>
      <c r="M61" s="30" t="str">
        <f>IF(E61&lt;('2. Inputs and results'!$C$21+1),'Solution  2, (hidden)'!C54-'Solution  2, (hidden)'!M54," ")</f>
        <v xml:space="preserve"> </v>
      </c>
      <c r="N61" s="24" t="str">
        <f>IF('4. Cash flow '!E61&lt;('2. Inputs and results'!$B$21+1),'Solution 1, (hidden)'!G54+'Solution 1, (hidden)'!I54+'Solution 1, (hidden)'!H54+'Solution 1, (hidden)'!J54-'Solution 1, (hidden)'!M54," ")</f>
        <v xml:space="preserve"> </v>
      </c>
      <c r="O61" s="24" t="str">
        <f>IF(E61&lt;('2. Inputs and results'!$C$21+1),'Solution  2, (hidden)'!G54+'Solution  2, (hidden)'!I54+'Solution  2, (hidden)'!H54+'Solution  2, (hidden)'!J54-'Solution  2, (hidden)'!M54," ")</f>
        <v xml:space="preserve"> </v>
      </c>
      <c r="P61" s="24" t="str">
        <f>IF('4. Cash flow '!E61&lt;('2. Inputs and results'!$B$21+1),'Solution 1, (hidden) (2)'!G54+'Solution 1, (hidden) (2)'!I54+'Solution 1, (hidden) (2)'!H54+'Solution 1, (hidden) (2)'!J54-'Solution 1, (hidden) (2)'!M54," ")</f>
        <v xml:space="preserve"> </v>
      </c>
      <c r="Q61" s="24" t="str">
        <f>IF(E61&lt;('2. Inputs and results'!$C$21+1),'Solution  2, (hidden) (2)'!G54+'Solution  2, (hidden) (2)'!I54+'Solution  2, (hidden) (2)'!H54+'Solution  2, (hidden) (2)'!J54-'Solution  2, (hidden) (2)'!M54," ")</f>
        <v xml:space="preserve"> </v>
      </c>
    </row>
    <row r="62" spans="3:17" x14ac:dyDescent="0.25">
      <c r="C62" s="285" t="str">
        <f>'Solution 1, (hidden)'!B55</f>
        <v xml:space="preserve"> </v>
      </c>
      <c r="D62" s="285" t="str">
        <f>'Solution  2, (hidden)'!B55</f>
        <v xml:space="preserve"> </v>
      </c>
      <c r="E62" s="285" t="str">
        <f>IF('2. Inputs and results'!$C$21&gt;='2. Inputs and results'!$B$21,'Solution  2, (hidden)'!B55,'Solution 1, (hidden)'!B55)</f>
        <v xml:space="preserve"> </v>
      </c>
      <c r="F62" s="288" t="e">
        <f>'Solution 1, (hidden)'!W55</f>
        <v>#N/A</v>
      </c>
      <c r="G62" s="288" t="e">
        <f>'Solution  2, (hidden)'!W55</f>
        <v>#N/A</v>
      </c>
      <c r="H62" s="288" t="e">
        <f>'Solution 1, (hidden)'!R55</f>
        <v>#N/A</v>
      </c>
      <c r="I62" s="288" t="e">
        <f>'Solution  2, (hidden)'!R55</f>
        <v>#N/A</v>
      </c>
      <c r="J62" s="287" t="e">
        <f>'Solution 1, (hidden) (2)'!R55</f>
        <v>#N/A</v>
      </c>
      <c r="K62" s="287"/>
      <c r="L62" s="30" t="str">
        <f>IF('4. Cash flow '!E62&lt;('2. Inputs and results'!$B$21+1),'Solution 1, (hidden)'!C55-'Solution 1, (hidden)'!M55," ")</f>
        <v xml:space="preserve"> </v>
      </c>
      <c r="M62" s="30" t="str">
        <f>IF(E62&lt;('2. Inputs and results'!$C$21+1),'Solution  2, (hidden)'!C55-'Solution  2, (hidden)'!M55," ")</f>
        <v xml:space="preserve"> </v>
      </c>
      <c r="N62" s="24" t="str">
        <f>IF('4. Cash flow '!E62&lt;('2. Inputs and results'!$B$21+1),'Solution 1, (hidden)'!G55+'Solution 1, (hidden)'!I55+'Solution 1, (hidden)'!H55-'Solution 1, (hidden)'!M55," ")</f>
        <v xml:space="preserve"> </v>
      </c>
      <c r="O62" s="24" t="str">
        <f>IF(E62&lt;('2. Inputs and results'!$C$21+1),'Solution  2, (hidden)'!G55+'Solution  2, (hidden)'!I55+'Solution  2, (hidden)'!H55-'Solution  2, (hidden)'!M55," ")</f>
        <v xml:space="preserve"> </v>
      </c>
      <c r="P62" s="24" t="str">
        <f>IF('4. Cash flow '!E62&lt;('2. Inputs and results'!$B$21+1),'Solution 1, (hidden) (2)'!G55+'Solution 1, (hidden) (2)'!I55+'Solution 1, (hidden) (2)'!H55+'Solution 1, (hidden) (2)'!J55-'Solution 1, (hidden) (2)'!M55," ")</f>
        <v xml:space="preserve"> </v>
      </c>
    </row>
    <row r="63" spans="3:17" x14ac:dyDescent="0.25">
      <c r="F63" s="30"/>
      <c r="G63" s="30"/>
      <c r="H63" s="30"/>
      <c r="I63" s="30"/>
      <c r="L63" s="31"/>
    </row>
  </sheetData>
  <sheetProtection sheet="1" objects="1" scenarios="1"/>
  <conditionalFormatting sqref="E10:I62 L12:M62 L10:M10">
    <cfRule type="containsErrors" dxfId="42" priority="8">
      <formula>ISERROR(E10)</formula>
    </cfRule>
  </conditionalFormatting>
  <conditionalFormatting sqref="J1:K1048576">
    <cfRule type="cellIs" dxfId="41" priority="7" operator="equal">
      <formula>"PUUTTUU"</formula>
    </cfRule>
  </conditionalFormatting>
  <conditionalFormatting sqref="J1:K1048576">
    <cfRule type="cellIs" dxfId="40" priority="6" operator="equal">
      <formula>"#PUUTTUU! "</formula>
    </cfRule>
  </conditionalFormatting>
  <conditionalFormatting sqref="J1:K1048576">
    <cfRule type="cellIs" dxfId="39" priority="5" operator="equal">
      <formula>"#PUUTTUU!  "</formula>
    </cfRule>
  </conditionalFormatting>
  <conditionalFormatting sqref="J1:K1048576">
    <cfRule type="expression" dxfId="38" priority="4">
      <formula>#N/A</formula>
    </cfRule>
  </conditionalFormatting>
  <conditionalFormatting sqref="J1:J1048576">
    <cfRule type="cellIs" dxfId="37" priority="3" operator="equal">
      <formula>"#PUUTTUU! "</formula>
    </cfRule>
  </conditionalFormatting>
  <conditionalFormatting sqref="J1:K1048576">
    <cfRule type="containsErrors" dxfId="36" priority="2">
      <formula>ISERROR(J1)</formula>
    </cfRule>
  </conditionalFormatting>
  <conditionalFormatting sqref="F12:K62">
    <cfRule type="cellIs" dxfId="35" priority="1" operator="lessThan">
      <formula>0</formula>
    </cfRule>
  </conditionalFormatting>
  <pageMargins left="0.7" right="0.7" top="0.75" bottom="0.75" header="0.3" footer="0.3"/>
  <pageSetup paperSize="9"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9">
    <pageSetUpPr fitToPage="1"/>
  </sheetPr>
  <dimension ref="A1:K63"/>
  <sheetViews>
    <sheetView zoomScaleNormal="100" workbookViewId="0">
      <selection activeCell="D1" sqref="D1"/>
    </sheetView>
  </sheetViews>
  <sheetFormatPr defaultRowHeight="15" x14ac:dyDescent="0.25"/>
  <cols>
    <col min="1" max="1" width="37.28515625" customWidth="1"/>
    <col min="2" max="2" width="36.42578125" customWidth="1"/>
    <col min="3" max="3" width="11.42578125" customWidth="1"/>
    <col min="4" max="4" width="10.42578125" customWidth="1"/>
    <col min="5" max="5" width="7.5703125" customWidth="1"/>
    <col min="6" max="6" width="34.85546875" customWidth="1"/>
    <col min="7" max="7" width="29.28515625" customWidth="1"/>
    <col min="8" max="9" width="40.7109375" customWidth="1"/>
    <col min="10" max="10" width="41" customWidth="1"/>
    <col min="11" max="11" width="40.85546875" customWidth="1"/>
  </cols>
  <sheetData>
    <row r="1" spans="1:11" s="39" customFormat="1" ht="76.5" customHeight="1" thickBot="1" x14ac:dyDescent="0.45">
      <c r="D1" s="306" t="s">
        <v>306</v>
      </c>
    </row>
    <row r="2" spans="1:11" s="39" customFormat="1" ht="15.75" thickBot="1" x14ac:dyDescent="0.3">
      <c r="A2" s="279" t="s">
        <v>150</v>
      </c>
      <c r="B2" s="61" t="str">
        <f>'2. Inputs and results'!B5</f>
        <v>Building</v>
      </c>
    </row>
    <row r="3" spans="1:11" s="39" customFormat="1" ht="15.75" thickBot="1" x14ac:dyDescent="0.3">
      <c r="A3" s="282"/>
      <c r="B3" s="284"/>
    </row>
    <row r="4" spans="1:11" s="39" customFormat="1" ht="15.75" thickBot="1" x14ac:dyDescent="0.3">
      <c r="A4" s="282" t="s">
        <v>139</v>
      </c>
      <c r="B4" s="283" t="str">
        <f>'2. Inputs and results'!B6</f>
        <v>Housing/ Residential building</v>
      </c>
    </row>
    <row r="5" spans="1:11" s="39" customFormat="1" ht="15.75" thickBot="1" x14ac:dyDescent="0.3">
      <c r="A5" s="282"/>
      <c r="B5" s="284"/>
    </row>
    <row r="6" spans="1:11" s="39" customFormat="1" ht="15.75" thickBot="1" x14ac:dyDescent="0.3">
      <c r="A6" s="282" t="s">
        <v>54</v>
      </c>
      <c r="B6" s="283" t="str">
        <f>'2. Inputs and results'!B8</f>
        <v>District heating</v>
      </c>
    </row>
    <row r="7" spans="1:11" s="39" customFormat="1" ht="15.75" thickBot="1" x14ac:dyDescent="0.3">
      <c r="A7" s="282" t="s">
        <v>93</v>
      </c>
      <c r="B7" s="283" t="str">
        <f>'2. Inputs and results'!B9</f>
        <v>Other</v>
      </c>
    </row>
    <row r="8" spans="1:11" s="39" customFormat="1" ht="15.75" thickBot="1" x14ac:dyDescent="0.3">
      <c r="A8" s="281" t="s">
        <v>104</v>
      </c>
      <c r="B8" s="63" t="str">
        <f>'2. Inputs and results'!B10</f>
        <v>None</v>
      </c>
    </row>
    <row r="9" spans="1:11" x14ac:dyDescent="0.25">
      <c r="C9" s="285"/>
      <c r="D9" s="285"/>
      <c r="E9" s="285"/>
      <c r="F9" s="286" t="s">
        <v>112</v>
      </c>
      <c r="G9" s="286" t="s">
        <v>113</v>
      </c>
      <c r="H9" s="286" t="s">
        <v>221</v>
      </c>
      <c r="I9" s="286" t="s">
        <v>222</v>
      </c>
      <c r="J9" s="286" t="s">
        <v>223</v>
      </c>
      <c r="K9" s="286" t="s">
        <v>224</v>
      </c>
    </row>
    <row r="10" spans="1:11" x14ac:dyDescent="0.25">
      <c r="C10" s="286" t="s">
        <v>114</v>
      </c>
      <c r="D10" s="286" t="s">
        <v>115</v>
      </c>
      <c r="E10" s="286" t="s">
        <v>49</v>
      </c>
      <c r="F10" s="286" t="str">
        <f>'2. Inputs and results'!B19</f>
        <v xml:space="preserve">Ventilation system with heat recovery </v>
      </c>
      <c r="G10" s="286" t="str">
        <f>'2. Inputs and results'!C19</f>
        <v>Geothermal heat pump system</v>
      </c>
      <c r="H10" s="286" t="str">
        <f>'2. Inputs and results'!B19</f>
        <v xml:space="preserve">Ventilation system with heat recovery </v>
      </c>
      <c r="I10" s="286" t="str">
        <f>'2. Inputs and results'!C19</f>
        <v>Geothermal heat pump system</v>
      </c>
      <c r="J10" s="286" t="str">
        <f>'2. Inputs and results'!B19</f>
        <v xml:space="preserve">Ventilation system with heat recovery </v>
      </c>
      <c r="K10" s="286" t="str">
        <f>'2. Inputs and results'!C19</f>
        <v>Geothermal heat pump system</v>
      </c>
    </row>
    <row r="11" spans="1:11" x14ac:dyDescent="0.25">
      <c r="C11" s="285"/>
      <c r="D11" s="285"/>
      <c r="E11" s="285"/>
      <c r="F11" s="285"/>
      <c r="G11" s="285"/>
      <c r="H11" s="286"/>
      <c r="I11" s="286"/>
      <c r="J11" s="286"/>
      <c r="K11" s="286"/>
    </row>
    <row r="12" spans="1:11" x14ac:dyDescent="0.25">
      <c r="C12" s="285">
        <f>'Solution 1, (hidden)'!B5</f>
        <v>0</v>
      </c>
      <c r="D12" s="285">
        <f>'Solution  2, (hidden)'!B5</f>
        <v>0</v>
      </c>
      <c r="E12" s="285">
        <f>IF('2. Inputs and results'!$C$21&gt;='2. Inputs and results'!$B$21,'Solution  2, (hidden)'!B5,'Solution 1, (hidden)'!B5)</f>
        <v>0</v>
      </c>
      <c r="F12" s="287">
        <f>'Solution 1, (hidden)'!Z5</f>
        <v>-156400</v>
      </c>
      <c r="G12" s="287">
        <f>'Solution  2, (hidden)'!Z5</f>
        <v>-212500</v>
      </c>
      <c r="H12" s="287">
        <f>'Solution 1, (hidden)'!U5</f>
        <v>-156400</v>
      </c>
      <c r="I12" s="287">
        <f>'Solution  2, (hidden)'!U5</f>
        <v>-212500</v>
      </c>
      <c r="J12" s="287">
        <f>'Solution 1, (hidden) (2)'!U5</f>
        <v>-156400</v>
      </c>
      <c r="K12" s="287">
        <f>'Solution  2, (hidden) (2)'!U5</f>
        <v>-212500</v>
      </c>
    </row>
    <row r="13" spans="1:11" x14ac:dyDescent="0.25">
      <c r="C13" s="285">
        <f>'Solution 1, (hidden)'!B6</f>
        <v>1</v>
      </c>
      <c r="D13" s="285">
        <f>'Solution  2, (hidden)'!B6</f>
        <v>1</v>
      </c>
      <c r="E13" s="285">
        <f>IF('2. Inputs and results'!$C$21&gt;='2. Inputs and results'!$B$21,'Solution  2, (hidden)'!B6,'Solution 1, (hidden)'!B6)</f>
        <v>1</v>
      </c>
      <c r="F13" s="287">
        <f>'Solution 1, (hidden)'!Z6</f>
        <v>-150157.69230769231</v>
      </c>
      <c r="G13" s="287">
        <f>'Solution  2, (hidden)'!Z6</f>
        <v>-195336.53846153847</v>
      </c>
      <c r="H13" s="287">
        <f>'Solution 1, (hidden)'!U6</f>
        <v>-150157.69230769231</v>
      </c>
      <c r="I13" s="287">
        <f>'Solution  2, (hidden)'!U6</f>
        <v>-195336.53846153847</v>
      </c>
      <c r="J13" s="287">
        <f>'Solution 1, (hidden) (2)'!U6</f>
        <v>-150157.69230769231</v>
      </c>
      <c r="K13" s="287">
        <f>'Solution  2, (hidden) (2)'!U6</f>
        <v>-195336.53846153847</v>
      </c>
    </row>
    <row r="14" spans="1:11" x14ac:dyDescent="0.25">
      <c r="C14" s="285">
        <f>'Solution 1, (hidden)'!B7</f>
        <v>2</v>
      </c>
      <c r="D14" s="285">
        <f>'Solution  2, (hidden)'!B7</f>
        <v>2</v>
      </c>
      <c r="E14" s="285">
        <f>IF('2. Inputs and results'!$C$21&gt;='2. Inputs and results'!$B$21,'Solution  2, (hidden)'!B7,'Solution 1, (hidden)'!B7)</f>
        <v>2</v>
      </c>
      <c r="F14" s="287">
        <f>'Solution 1, (hidden)'!Z7</f>
        <v>-144035.42899408285</v>
      </c>
      <c r="G14" s="287">
        <f>'Solution  2, (hidden)'!Z7</f>
        <v>-178503.14349112427</v>
      </c>
      <c r="H14" s="287">
        <f>'Solution 1, (hidden)'!U7</f>
        <v>-143717.56656804733</v>
      </c>
      <c r="I14" s="287">
        <f>'Solution  2, (hidden)'!U7</f>
        <v>-177820.82100591715</v>
      </c>
      <c r="J14" s="287">
        <f>'Solution 1, (hidden) (2)'!U7</f>
        <v>-143399.70414201185</v>
      </c>
      <c r="K14" s="287">
        <f>'Solution  2, (hidden) (2)'!U7</f>
        <v>-177138.49852071007</v>
      </c>
    </row>
    <row r="15" spans="1:11" x14ac:dyDescent="0.25">
      <c r="C15" s="285">
        <f>'Solution 1, (hidden)'!B8</f>
        <v>3</v>
      </c>
      <c r="D15" s="285">
        <f>'Solution  2, (hidden)'!B8</f>
        <v>3</v>
      </c>
      <c r="E15" s="285">
        <f>IF('2. Inputs and results'!$C$21&gt;='2. Inputs and results'!$B$21,'Solution  2, (hidden)'!B8,'Solution 1, (hidden)'!B8)</f>
        <v>3</v>
      </c>
      <c r="F15" s="287">
        <f>'Solution 1, (hidden)'!Z8</f>
        <v>-138030.90151342741</v>
      </c>
      <c r="G15" s="287">
        <f>'Solution  2, (hidden)'!Z8</f>
        <v>-161993.4676547565</v>
      </c>
      <c r="H15" s="287">
        <f>'Solution 1, (hidden)'!U8</f>
        <v>-137086.48334376421</v>
      </c>
      <c r="I15" s="287">
        <f>'Solution  2, (hidden)'!U8</f>
        <v>-159966.18257851616</v>
      </c>
      <c r="J15" s="287">
        <f>'Solution 1, (hidden) (2)'!U8</f>
        <v>-136123.72695721439</v>
      </c>
      <c r="K15" s="287">
        <f>'Solution  2, (hidden) (2)'!U8</f>
        <v>-157899.5327435139</v>
      </c>
    </row>
    <row r="16" spans="1:11" x14ac:dyDescent="0.25">
      <c r="C16" s="285">
        <f>'Solution 1, (hidden)'!B9</f>
        <v>4</v>
      </c>
      <c r="D16" s="285">
        <f>'Solution  2, (hidden)'!B9</f>
        <v>4</v>
      </c>
      <c r="E16" s="285">
        <f>IF('2. Inputs and results'!$C$21&gt;='2. Inputs and results'!$B$21,'Solution  2, (hidden)'!B9,'Solution 1, (hidden)'!B9)</f>
        <v>4</v>
      </c>
      <c r="F16" s="287">
        <f>'Solution 1, (hidden)'!Z9</f>
        <v>-132141.84571509226</v>
      </c>
      <c r="G16" s="287">
        <f>'Solution  2, (hidden)'!Z9</f>
        <v>-145801.28558447273</v>
      </c>
      <c r="H16" s="287">
        <f>'Solution 1, (hidden)'!U9</f>
        <v>-130271.14187547594</v>
      </c>
      <c r="I16" s="287">
        <f>'Solution  2, (hidden)'!U9</f>
        <v>-141785.63859890893</v>
      </c>
      <c r="J16" s="287">
        <f>'Solution 1, (hidden) (2)'!U9</f>
        <v>-128327.26149732152</v>
      </c>
      <c r="K16" s="287">
        <f>'Solution  2, (hidden) (2)'!U9</f>
        <v>-137612.91108559314</v>
      </c>
    </row>
    <row r="17" spans="3:11" x14ac:dyDescent="0.25">
      <c r="C17" s="285">
        <f>'Solution 1, (hidden)'!B10</f>
        <v>5</v>
      </c>
      <c r="D17" s="285">
        <f>'Solution  2, (hidden)'!B10</f>
        <v>5</v>
      </c>
      <c r="E17" s="285">
        <f>IF('2. Inputs and results'!$C$21&gt;='2. Inputs and results'!$B$21,'Solution  2, (hidden)'!B10,'Solution 1, (hidden)'!B10)</f>
        <v>5</v>
      </c>
      <c r="F17" s="287">
        <f>'Solution 1, (hidden)'!Z10</f>
        <v>-126366.04098980203</v>
      </c>
      <c r="G17" s="287">
        <f>'Solution  2, (hidden)'!Z10</f>
        <v>-129920.49163092519</v>
      </c>
      <c r="H17" s="287">
        <f>'Solution 1, (hidden)'!U10</f>
        <v>-123278.08346667532</v>
      </c>
      <c r="I17" s="287">
        <f>'Solution  2, (hidden)'!U10</f>
        <v>-123291.89171217155</v>
      </c>
      <c r="J17" s="287">
        <f>'Solution 1, (hidden) (2)'!U10</f>
        <v>-120007.61694236846</v>
      </c>
      <c r="K17" s="287">
        <f>'Solution  2, (hidden) (2)'!U10</f>
        <v>-116271.51854481125</v>
      </c>
    </row>
    <row r="18" spans="3:11" x14ac:dyDescent="0.25">
      <c r="C18" s="285">
        <f>'Solution 1, (hidden)'!B11</f>
        <v>6</v>
      </c>
      <c r="D18" s="285">
        <f>'Solution  2, (hidden)'!B11</f>
        <v>6</v>
      </c>
      <c r="E18" s="285">
        <f>IF('2. Inputs and results'!$C$21&gt;='2. Inputs and results'!$B$21,'Solution  2, (hidden)'!B11,'Solution 1, (hidden)'!B11)</f>
        <v>6</v>
      </c>
      <c r="F18" s="287">
        <f>'Solution 1, (hidden)'!Z11</f>
        <v>-120701.30943230583</v>
      </c>
      <c r="G18" s="287">
        <f>'Solution  2, (hidden)'!Z11</f>
        <v>-114345.09756109971</v>
      </c>
      <c r="H18" s="287">
        <f>'Solution 1, (hidden)'!U11</f>
        <v>-116113.69480082911</v>
      </c>
      <c r="I18" s="287">
        <f>'Solution  2, (hidden)'!U11</f>
        <v>-104497.33840452664</v>
      </c>
      <c r="J18" s="287">
        <f>'Solution 1, (hidden) (2)'!U11</f>
        <v>-111161.90998412299</v>
      </c>
      <c r="K18" s="287">
        <f>'Solution  2, (hidden) (2)'!U11</f>
        <v>-93867.852672330249</v>
      </c>
    </row>
    <row r="19" spans="3:11" x14ac:dyDescent="0.25">
      <c r="C19" s="285">
        <f>'Solution 1, (hidden)'!B12</f>
        <v>7</v>
      </c>
      <c r="D19" s="285">
        <f>'Solution  2, (hidden)'!B12</f>
        <v>7</v>
      </c>
      <c r="E19" s="285">
        <f>IF('2. Inputs and results'!$C$21&gt;='2. Inputs and results'!$B$21,'Solution  2, (hidden)'!B12,'Solution 1, (hidden)'!B12)</f>
        <v>7</v>
      </c>
      <c r="F19" s="287">
        <f>'Solution 1, (hidden)'!Z12</f>
        <v>-115145.51502014611</v>
      </c>
      <c r="G19" s="287">
        <f>'Solution  2, (hidden)'!Z12</f>
        <v>-99069.23030030934</v>
      </c>
      <c r="H19" s="287">
        <f>'Solution 1, (hidden)'!U12</f>
        <v>-108784.21119201051</v>
      </c>
      <c r="I19" s="287">
        <f>'Solution  2, (hidden)'!U12</f>
        <v>-85414.075485986847</v>
      </c>
      <c r="J19" s="287">
        <f>'Solution 1, (hidden) (2)'!U12</f>
        <v>-101787.06383095976</v>
      </c>
      <c r="K19" s="287">
        <f>'Solution  2, (hidden) (2)'!U12</f>
        <v>-70394.020941322902</v>
      </c>
    </row>
    <row r="20" spans="3:11" x14ac:dyDescent="0.25">
      <c r="C20" s="285">
        <f>'Solution 1, (hidden)'!B13</f>
        <v>8</v>
      </c>
      <c r="D20" s="285">
        <f>'Solution  2, (hidden)'!B13</f>
        <v>8</v>
      </c>
      <c r="E20" s="285">
        <f>IF('2. Inputs and results'!$C$21&gt;='2. Inputs and results'!$B$21,'Solution  2, (hidden)'!B13,'Solution 1, (hidden)'!B13)</f>
        <v>8</v>
      </c>
      <c r="F20" s="287">
        <f>'Solution 1, (hidden)'!Z13</f>
        <v>-109696.56280822022</v>
      </c>
      <c r="G20" s="287">
        <f>'Solution  2, (hidden)'!Z13</f>
        <v>-84087.129717611097</v>
      </c>
      <c r="H20" s="287">
        <f>'Solution 1, (hidden)'!U13</f>
        <v>-101295.71977035442</v>
      </c>
      <c r="I20" s="287">
        <f>'Solution  2, (hidden)'!U13</f>
        <v>-66053.906442611187</v>
      </c>
      <c r="J20" s="287">
        <f>'Solution 1, (hidden) (2)'!U13</f>
        <v>-91879.807141548052</v>
      </c>
      <c r="K20" s="287">
        <f>'Solution  2, (hidden) (2)'!U13</f>
        <v>-45841.737972398536</v>
      </c>
    </row>
    <row r="21" spans="3:11" x14ac:dyDescent="0.25">
      <c r="C21" s="285">
        <f>'Solution 1, (hidden)'!B14</f>
        <v>9</v>
      </c>
      <c r="D21" s="285">
        <f>'Solution  2, (hidden)'!B14</f>
        <v>9</v>
      </c>
      <c r="E21" s="285">
        <f>IF('2. Inputs and results'!$C$21&gt;='2. Inputs and results'!$B$21,'Solution  2, (hidden)'!B14,'Solution 1, (hidden)'!B14)</f>
        <v>9</v>
      </c>
      <c r="F21" s="287">
        <f>'Solution 1, (hidden)'!Z14</f>
        <v>-104352.39813883137</v>
      </c>
      <c r="G21" s="287">
        <f>'Solution  2, (hidden)'!Z14</f>
        <v>-69393.146453810885</v>
      </c>
      <c r="H21" s="287">
        <f>'Solution 1, (hidden)'!U14</f>
        <v>-93654.162603614444</v>
      </c>
      <c r="I21" s="287">
        <f>'Solution  2, (hidden)'!U14</f>
        <v>-46428.34766093683</v>
      </c>
      <c r="J21" s="287">
        <f>'Solution 1, (hidden) (2)'!U14</f>
        <v>-81436.672886985078</v>
      </c>
      <c r="K21" s="287">
        <f>'Solution  2, (hidden) (2)'!U14</f>
        <v>-20202.322614769033</v>
      </c>
    </row>
    <row r="22" spans="3:11" x14ac:dyDescent="0.25">
      <c r="C22" s="285">
        <f>'Solution 1, (hidden)'!B15</f>
        <v>10</v>
      </c>
      <c r="D22" s="285">
        <f>'Solution  2, (hidden)'!B15</f>
        <v>10</v>
      </c>
      <c r="E22" s="285">
        <f>IF('2. Inputs and results'!$C$21&gt;='2. Inputs and results'!$B$21,'Solution  2, (hidden)'!B15,'Solution 1, (hidden)'!B15)</f>
        <v>10</v>
      </c>
      <c r="F22" s="287">
        <f>'Solution 1, (hidden)'!Z15</f>
        <v>-99111.005866930762</v>
      </c>
      <c r="G22" s="287">
        <f>'Solution  2, (hidden)'!Z15</f>
        <v>-54981.739791237604</v>
      </c>
      <c r="H22" s="287">
        <f>'Solution 1, (hidden)'!U15</f>
        <v>-85865.33975607586</v>
      </c>
      <c r="I22" s="287">
        <f>'Solution  2, (hidden)'!U15</f>
        <v>-26548.634527098751</v>
      </c>
      <c r="J22" s="287">
        <f>'Solution 1, (hidden) (2)'!U15</f>
        <v>-70453.997140980355</v>
      </c>
      <c r="K22" s="287">
        <f>'Solution  2, (hidden) (2)'!U15</f>
        <v>6186.0126008747793</v>
      </c>
    </row>
    <row r="23" spans="3:11" x14ac:dyDescent="0.25">
      <c r="C23" s="285">
        <f>'Solution 1, (hidden)'!B16</f>
        <v>11</v>
      </c>
      <c r="D23" s="285">
        <f>'Solution  2, (hidden)'!B16</f>
        <v>11</v>
      </c>
      <c r="E23" s="285">
        <f>IF('2. Inputs and results'!$C$21&gt;='2. Inputs and results'!$B$21,'Solution  2, (hidden)'!B16,'Solution 1, (hidden)'!B16)</f>
        <v>11</v>
      </c>
      <c r="F23" s="287">
        <f>'Solution 1, (hidden)'!Z16</f>
        <v>-93970.409600259023</v>
      </c>
      <c r="G23" s="287">
        <f>'Solution  2, (hidden)'!Z16</f>
        <v>-40847.475564483044</v>
      </c>
      <c r="H23" s="287">
        <f>'Solution 1, (hidden)'!U16</f>
        <v>-77934.912286054358</v>
      </c>
      <c r="I23" s="287">
        <f>'Solution  2, (hidden)'!U16</f>
        <v>-6697.2184965246888</v>
      </c>
      <c r="J23" s="287">
        <f>'Solution 1, (hidden) (2)'!U16</f>
        <v>-58927.917797670532</v>
      </c>
      <c r="K23" s="287">
        <f>'Solution  2, (hidden) (2)'!U16</f>
        <v>33179.25294116931</v>
      </c>
    </row>
    <row r="24" spans="3:11" x14ac:dyDescent="0.25">
      <c r="C24" s="285">
        <f>'Solution 1, (hidden)'!B17</f>
        <v>12</v>
      </c>
      <c r="D24" s="285">
        <f>'Solution  2, (hidden)'!B17</f>
        <v>12</v>
      </c>
      <c r="E24" s="285">
        <f>IF('2. Inputs and results'!$C$21&gt;='2. Inputs and results'!$B$21,'Solution  2, (hidden)'!B17,'Solution 1, (hidden)'!B17)</f>
        <v>12</v>
      </c>
      <c r="F24" s="287">
        <f>'Solution 1, (hidden)'!Z17</f>
        <v>-88928.670954100206</v>
      </c>
      <c r="G24" s="287">
        <f>'Solution  2, (hidden)'!Z17</f>
        <v>-27043.880768763604</v>
      </c>
      <c r="H24" s="287">
        <f>'Solution 1, (hidden)'!U17</f>
        <v>-69868.405183186565</v>
      </c>
      <c r="I24" s="287">
        <f>'Solution  2, (hidden)'!U17</f>
        <v>13010.163312473891</v>
      </c>
      <c r="J24" s="287">
        <f>'Solution 1, (hidden) (2)'!U17</f>
        <v>-46854.373216616987</v>
      </c>
      <c r="K24" s="287">
        <f>'Solution  2, (hidden) (2)'!U17</f>
        <v>60785.28361467574</v>
      </c>
    </row>
    <row r="25" spans="3:11" x14ac:dyDescent="0.25">
      <c r="C25" s="285">
        <f>'Solution 1, (hidden)'!B18</f>
        <v>13</v>
      </c>
      <c r="D25" s="285">
        <f>'Solution  2, (hidden)'!B18</f>
        <v>13</v>
      </c>
      <c r="E25" s="285">
        <f>IF('2. Inputs and results'!$C$21&gt;='2. Inputs and results'!$B$21,'Solution  2, (hidden)'!B18,'Solution 1, (hidden)'!B18)</f>
        <v>13</v>
      </c>
      <c r="F25" s="287">
        <f>'Solution 1, (hidden)'!Z18</f>
        <v>-83983.888820367516</v>
      </c>
      <c r="G25" s="287">
        <f>'Solution  2, (hidden)'!Z18</f>
        <v>-13771.19346518722</v>
      </c>
      <c r="H25" s="287">
        <f>'Solution 1, (hidden)'!U18</f>
        <v>-61671.210246694762</v>
      </c>
      <c r="I25" s="287">
        <f>'Solution  2, (hidden)'!U18</f>
        <v>32573.094122076818</v>
      </c>
      <c r="J25" s="287">
        <f>'Solution 1, (hidden) (2)'!U18</f>
        <v>-34229.100794512284</v>
      </c>
      <c r="K25" s="287">
        <f>'Solution  2, (hidden) (2)'!U18</f>
        <v>89012.2856063621</v>
      </c>
    </row>
    <row r="26" spans="3:11" x14ac:dyDescent="0.25">
      <c r="C26" s="285">
        <f>'Solution 1, (hidden)'!B19</f>
        <v>14</v>
      </c>
      <c r="D26" s="285">
        <f>'Solution  2, (hidden)'!B19</f>
        <v>14</v>
      </c>
      <c r="E26" s="285">
        <f>IF('2. Inputs and results'!$C$21&gt;='2. Inputs and results'!$B$21,'Solution  2, (hidden)'!B19,'Solution 1, (hidden)'!B19)</f>
        <v>14</v>
      </c>
      <c r="F26" s="287">
        <f>'Solution 1, (hidden)'!Z19</f>
        <v>-79134.198650745064</v>
      </c>
      <c r="G26" s="287">
        <f>'Solution  2, (hidden)'!Z19</f>
        <v>-1008.9941348253124</v>
      </c>
      <c r="H26" s="287">
        <f>'Solution 1, (hidden)'!U19</f>
        <v>-53348.588905785342</v>
      </c>
      <c r="I26" s="287">
        <f>'Solution  2, (hidden)'!U19</f>
        <v>51991.230458952894</v>
      </c>
      <c r="J26" s="287">
        <f>'Solution 1, (hidden) (2)'!U19</f>
        <v>-21176.224841524745</v>
      </c>
      <c r="K26" s="287">
        <f>'Solution  2, (hidden) (2)'!U19</f>
        <v>117868.73582185032</v>
      </c>
    </row>
    <row r="27" spans="3:11" x14ac:dyDescent="0.25">
      <c r="C27" s="285">
        <f>'Solution 1, (hidden)'!B20</f>
        <v>15</v>
      </c>
      <c r="D27" s="285">
        <f>'Solution  2, (hidden)'!B20</f>
        <v>15</v>
      </c>
      <c r="E27" s="285">
        <f>IF('2. Inputs and results'!$C$21&gt;='2. Inputs and results'!$B$21,'Solution  2, (hidden)'!B20,'Solution 1, (hidden)'!B20)</f>
        <v>15</v>
      </c>
      <c r="F27" s="287">
        <f>'Solution 1, (hidden)'!Z20</f>
        <v>-74377.77175361535</v>
      </c>
      <c r="G27" s="287">
        <f>'Solution  2, (hidden)'!Z20</f>
        <v>11262.351375138061</v>
      </c>
      <c r="H27" s="287">
        <f>'Solution 1, (hidden)'!U20</f>
        <v>-44905.67498331808</v>
      </c>
      <c r="I27" s="287">
        <f>'Solution  2, (hidden)'!U20</f>
        <v>71264.298784139435</v>
      </c>
      <c r="J27" s="287">
        <f>'Solution 1, (hidden) (2)'!U20</f>
        <v>-7811.0308421878981</v>
      </c>
      <c r="K27" s="287">
        <f>'Solution  2, (hidden) (2)'!U20</f>
        <v>147363.40744765877</v>
      </c>
    </row>
    <row r="28" spans="3:11" x14ac:dyDescent="0.25">
      <c r="C28" s="285">
        <f>'Solution 1, (hidden)'!B21</f>
        <v>16</v>
      </c>
      <c r="D28" s="285">
        <f>'Solution  2, (hidden)'!B21</f>
        <v>16</v>
      </c>
      <c r="E28" s="285">
        <f>IF('2. Inputs and results'!$C$21&gt;='2. Inputs and results'!$B$21,'Solution  2, (hidden)'!B21,'Solution 1, (hidden)'!B21)</f>
        <v>16</v>
      </c>
      <c r="F28" s="287">
        <f>'Solution 1, (hidden)'!Z21</f>
        <v>-69712.814604507366</v>
      </c>
      <c r="G28" s="287">
        <f>'Solution  2, (hidden)'!Z21</f>
        <v>23061.722057795148</v>
      </c>
      <c r="H28" s="287">
        <f>'Solution 1, (hidden)'!U21</f>
        <v>-36355.505764711124</v>
      </c>
      <c r="I28" s="287">
        <f>'Solution  2, (hidden)'!U21</f>
        <v>90392.092257837154</v>
      </c>
      <c r="J28" s="287">
        <f>'Solution 1, (hidden) (2)'!U21</f>
        <v>5870.1295812703738</v>
      </c>
      <c r="K28" s="287">
        <f>'Solution  2, (hidden) (2)'!U21</f>
        <v>177505.37052339333</v>
      </c>
    </row>
    <row r="29" spans="3:11" x14ac:dyDescent="0.25">
      <c r="C29" s="285">
        <f>'Solution 1, (hidden)'!B22</f>
        <v>17</v>
      </c>
      <c r="D29" s="285">
        <f>'Solution  2, (hidden)'!B22</f>
        <v>17</v>
      </c>
      <c r="E29" s="285">
        <f>IF('2. Inputs and results'!$C$21&gt;='2. Inputs and results'!$B$21,'Solution  2, (hidden)'!B22,'Solution 1, (hidden)'!B22)</f>
        <v>17</v>
      </c>
      <c r="F29" s="287">
        <f>'Solution 1, (hidden)'!Z22</f>
        <v>-65137.568169805309</v>
      </c>
      <c r="G29" s="287">
        <f>'Solution  2, (hidden)'!Z22</f>
        <v>34407.27079111927</v>
      </c>
      <c r="H29" s="287">
        <f>'Solution 1, (hidden)'!U22</f>
        <v>-27859.211508496675</v>
      </c>
      <c r="I29" s="287">
        <f>'Solution  2, (hidden)'!U22</f>
        <v>109374.4676338805</v>
      </c>
      <c r="J29" s="287">
        <f>'Solution 1, (hidden) (2)'!U22</f>
        <v>19871.065649983339</v>
      </c>
      <c r="K29" s="287">
        <f>'Solution  2, (hidden) (2)'!U22</f>
        <v>208303.99272207747</v>
      </c>
    </row>
    <row r="30" spans="3:11" x14ac:dyDescent="0.25">
      <c r="C30" s="285">
        <f>'Solution 1, (hidden)'!B23</f>
        <v>18</v>
      </c>
      <c r="D30" s="285">
        <f>'Solution  2, (hidden)'!B23</f>
        <v>18</v>
      </c>
      <c r="E30" s="285">
        <f>IF('2. Inputs and results'!$C$21&gt;='2. Inputs and results'!$B$21,'Solution  2, (hidden)'!B23,'Solution 1, (hidden)'!B23)</f>
        <v>18</v>
      </c>
      <c r="F30" s="287">
        <f>'Solution 1, (hidden)'!Z23</f>
        <v>-60650.307243462899</v>
      </c>
      <c r="G30" s="287">
        <f>'Solution  2, (hidden)'!Z23</f>
        <v>45316.452265469386</v>
      </c>
      <c r="H30" s="287">
        <f>'Solution 1, (hidden)'!U23</f>
        <v>-19417.364117081386</v>
      </c>
      <c r="I30" s="287">
        <f>'Solution  2, (hidden)'!U23</f>
        <v>128211.34227884543</v>
      </c>
      <c r="J30" s="287">
        <f>'Solution 1, (hidden) (2)'!U23</f>
        <v>34195.747033808126</v>
      </c>
      <c r="K30" s="287">
        <f>'Solution  2, (hidden) (2)'!U23</f>
        <v>239768.94033504184</v>
      </c>
    </row>
    <row r="31" spans="3:11" x14ac:dyDescent="0.25">
      <c r="C31" s="285">
        <f>'Solution 1, (hidden)'!B24</f>
        <v>19</v>
      </c>
      <c r="D31" s="285">
        <f>'Solution  2, (hidden)'!B24</f>
        <v>19</v>
      </c>
      <c r="E31" s="285">
        <f>IF('2. Inputs and results'!$C$21&gt;='2. Inputs and results'!$B$21,'Solution  2, (hidden)'!B24,'Solution 1, (hidden)'!B24)</f>
        <v>19</v>
      </c>
      <c r="F31" s="287">
        <f>'Solution 1, (hidden)'!Z24</f>
        <v>-56249.339796473228</v>
      </c>
      <c r="G31" s="287">
        <f>'Solution  2, (hidden)'!Z24</f>
        <v>55806.049836959879</v>
      </c>
      <c r="H31" s="287">
        <f>'Solution 1, (hidden)'!U24</f>
        <v>-11030.488073391414</v>
      </c>
      <c r="I31" s="287">
        <f>'Solution  2, (hidden)'!U24</f>
        <v>146902.69131095093</v>
      </c>
      <c r="J31" s="287">
        <f>'Solution 1, (hidden) (2)'!U24</f>
        <v>48848.303583244589</v>
      </c>
      <c r="K31" s="287">
        <f>'Solution  2, (hidden) (2)'!U24</f>
        <v>271910.17945801676</v>
      </c>
    </row>
    <row r="32" spans="3:11" x14ac:dyDescent="0.25">
      <c r="C32" s="285">
        <f>'Solution 1, (hidden)'!B25</f>
        <v>20</v>
      </c>
      <c r="D32" s="285">
        <f>'Solution  2, (hidden)'!B25</f>
        <v>20</v>
      </c>
      <c r="E32" s="285">
        <f>IF('2. Inputs and results'!$C$21&gt;='2. Inputs and results'!$B$21,'Solution  2, (hidden)'!B25,'Solution 1, (hidden)'!B25)</f>
        <v>20</v>
      </c>
      <c r="F32" s="287">
        <f>'Solution 1, (hidden)'!Z25</f>
        <v>-51933.006338848747</v>
      </c>
      <c r="G32" s="287">
        <f>'Solution  2, (hidden)'!Z25</f>
        <v>65892.201348008428</v>
      </c>
      <c r="H32" s="287">
        <f>'Solution 1, (hidden)'!U25</f>
        <v>-2699.0625091527654</v>
      </c>
      <c r="I32" s="287">
        <f>'Solution  2, (hidden)'!U25</f>
        <v>165448.54485409745</v>
      </c>
      <c r="J32" s="287">
        <f>'Solution 1, (hidden) (2)'!U25</f>
        <v>63833.025185184684</v>
      </c>
      <c r="K32" s="287">
        <f>'Solution  2, (hidden) (2)'!U25</f>
        <v>304737.97737528681</v>
      </c>
    </row>
    <row r="33" spans="3:11" x14ac:dyDescent="0.25">
      <c r="C33" s="285" t="str">
        <f>'Solution 1, (hidden)'!B26</f>
        <v xml:space="preserve"> </v>
      </c>
      <c r="D33" s="285" t="str">
        <f>'Solution  2, (hidden)'!B26</f>
        <v xml:space="preserve"> </v>
      </c>
      <c r="E33" s="285" t="str">
        <f>IF('2. Inputs and results'!$C$21&gt;='2. Inputs and results'!$B$21,'Solution  2, (hidden)'!B26,'Solution 1, (hidden)'!B26)</f>
        <v xml:space="preserve"> </v>
      </c>
      <c r="F33" s="287" t="e">
        <f>'Solution 1, (hidden)'!Z26</f>
        <v>#N/A</v>
      </c>
      <c r="G33" s="287" t="e">
        <f>'Solution  2, (hidden)'!Z26</f>
        <v>#N/A</v>
      </c>
      <c r="H33" s="287" t="e">
        <f>'Solution 1, (hidden)'!U26</f>
        <v>#N/A</v>
      </c>
      <c r="I33" s="287" t="e">
        <f>'Solution  2, (hidden)'!U26</f>
        <v>#N/A</v>
      </c>
      <c r="J33" s="287" t="e">
        <f>'Solution 1, (hidden) (2)'!U26</f>
        <v>#N/A</v>
      </c>
      <c r="K33" s="287" t="e">
        <f>'Solution  2, (hidden) (2)'!U26</f>
        <v>#N/A</v>
      </c>
    </row>
    <row r="34" spans="3:11" x14ac:dyDescent="0.25">
      <c r="C34" s="285" t="str">
        <f>'Solution 1, (hidden)'!B27</f>
        <v xml:space="preserve"> </v>
      </c>
      <c r="D34" s="285" t="str">
        <f>'Solution  2, (hidden)'!B27</f>
        <v xml:space="preserve"> </v>
      </c>
      <c r="E34" s="285" t="str">
        <f>IF('2. Inputs and results'!$C$21&gt;='2. Inputs and results'!$B$21,'Solution  2, (hidden)'!B27,'Solution 1, (hidden)'!B27)</f>
        <v xml:space="preserve"> </v>
      </c>
      <c r="F34" s="287" t="e">
        <f>'Solution 1, (hidden)'!Z27</f>
        <v>#N/A</v>
      </c>
      <c r="G34" s="287" t="e">
        <f>'Solution  2, (hidden)'!Z27</f>
        <v>#N/A</v>
      </c>
      <c r="H34" s="287" t="e">
        <f>'Solution 1, (hidden)'!U27</f>
        <v>#N/A</v>
      </c>
      <c r="I34" s="287" t="e">
        <f>'Solution  2, (hidden)'!U27</f>
        <v>#N/A</v>
      </c>
      <c r="J34" s="287" t="e">
        <f>'Solution 1, (hidden) (2)'!U27</f>
        <v>#N/A</v>
      </c>
      <c r="K34" s="287" t="e">
        <f>'Solution  2, (hidden) (2)'!U27</f>
        <v>#N/A</v>
      </c>
    </row>
    <row r="35" spans="3:11" x14ac:dyDescent="0.25">
      <c r="C35" s="285" t="str">
        <f>'Solution 1, (hidden)'!B28</f>
        <v xml:space="preserve"> </v>
      </c>
      <c r="D35" s="285" t="str">
        <f>'Solution  2, (hidden)'!B28</f>
        <v xml:space="preserve"> </v>
      </c>
      <c r="E35" s="285" t="str">
        <f>IF('2. Inputs and results'!$C$21&gt;='2. Inputs and results'!$B$21,'Solution  2, (hidden)'!B28,'Solution 1, (hidden)'!B28)</f>
        <v xml:space="preserve"> </v>
      </c>
      <c r="F35" s="287" t="e">
        <f>'Solution 1, (hidden)'!Z28</f>
        <v>#N/A</v>
      </c>
      <c r="G35" s="287" t="e">
        <f>'Solution  2, (hidden)'!Z28</f>
        <v>#N/A</v>
      </c>
      <c r="H35" s="287" t="e">
        <f>'Solution 1, (hidden)'!U28</f>
        <v>#N/A</v>
      </c>
      <c r="I35" s="287" t="e">
        <f>'Solution  2, (hidden)'!U28</f>
        <v>#N/A</v>
      </c>
      <c r="J35" s="287" t="e">
        <f>'Solution 1, (hidden) (2)'!U28</f>
        <v>#N/A</v>
      </c>
      <c r="K35" s="287" t="e">
        <f>'Solution  2, (hidden) (2)'!U28</f>
        <v>#N/A</v>
      </c>
    </row>
    <row r="36" spans="3:11" x14ac:dyDescent="0.25">
      <c r="C36" s="285" t="str">
        <f>'Solution 1, (hidden)'!B29</f>
        <v xml:space="preserve"> </v>
      </c>
      <c r="D36" s="285" t="str">
        <f>'Solution  2, (hidden)'!B29</f>
        <v xml:space="preserve"> </v>
      </c>
      <c r="E36" s="285" t="str">
        <f>IF('2. Inputs and results'!$C$21&gt;='2. Inputs and results'!$B$21,'Solution  2, (hidden)'!B29,'Solution 1, (hidden)'!B29)</f>
        <v xml:space="preserve"> </v>
      </c>
      <c r="F36" s="287" t="e">
        <f>'Solution 1, (hidden)'!Z29</f>
        <v>#N/A</v>
      </c>
      <c r="G36" s="287" t="e">
        <f>'Solution  2, (hidden)'!Z29</f>
        <v>#N/A</v>
      </c>
      <c r="H36" s="287" t="e">
        <f>'Solution 1, (hidden)'!U29</f>
        <v>#N/A</v>
      </c>
      <c r="I36" s="287" t="e">
        <f>'Solution  2, (hidden)'!U29</f>
        <v>#N/A</v>
      </c>
      <c r="J36" s="287" t="e">
        <f>'Solution 1, (hidden) (2)'!U29</f>
        <v>#N/A</v>
      </c>
      <c r="K36" s="287" t="e">
        <f>'Solution  2, (hidden) (2)'!U29</f>
        <v>#N/A</v>
      </c>
    </row>
    <row r="37" spans="3:11" x14ac:dyDescent="0.25">
      <c r="C37" s="285" t="str">
        <f>'Solution 1, (hidden)'!B30</f>
        <v xml:space="preserve"> </v>
      </c>
      <c r="D37" s="285" t="str">
        <f>'Solution  2, (hidden)'!B30</f>
        <v xml:space="preserve"> </v>
      </c>
      <c r="E37" s="285" t="str">
        <f>IF('2. Inputs and results'!$C$21&gt;='2. Inputs and results'!$B$21,'Solution  2, (hidden)'!B30,'Solution 1, (hidden)'!B30)</f>
        <v xml:space="preserve"> </v>
      </c>
      <c r="F37" s="287" t="e">
        <f>'Solution 1, (hidden)'!Z30</f>
        <v>#N/A</v>
      </c>
      <c r="G37" s="287" t="e">
        <f>'Solution  2, (hidden)'!Z30</f>
        <v>#N/A</v>
      </c>
      <c r="H37" s="287" t="e">
        <f>'Solution 1, (hidden)'!U30</f>
        <v>#N/A</v>
      </c>
      <c r="I37" s="287" t="e">
        <f>'Solution  2, (hidden)'!U30</f>
        <v>#N/A</v>
      </c>
      <c r="J37" s="287" t="e">
        <f>'Solution 1, (hidden) (2)'!U30</f>
        <v>#N/A</v>
      </c>
      <c r="K37" s="287" t="e">
        <f>'Solution  2, (hidden) (2)'!U30</f>
        <v>#N/A</v>
      </c>
    </row>
    <row r="38" spans="3:11" x14ac:dyDescent="0.25">
      <c r="C38" s="285" t="str">
        <f>'Solution 1, (hidden)'!B31</f>
        <v xml:space="preserve"> </v>
      </c>
      <c r="D38" s="285" t="str">
        <f>'Solution  2, (hidden)'!B31</f>
        <v xml:space="preserve"> </v>
      </c>
      <c r="E38" s="285" t="str">
        <f>IF('2. Inputs and results'!$C$21&gt;='2. Inputs and results'!$B$21,'Solution  2, (hidden)'!B31,'Solution 1, (hidden)'!B31)</f>
        <v xml:space="preserve"> </v>
      </c>
      <c r="F38" s="287" t="e">
        <f>'Solution 1, (hidden)'!Z31</f>
        <v>#N/A</v>
      </c>
      <c r="G38" s="287" t="e">
        <f>'Solution  2, (hidden)'!Z31</f>
        <v>#N/A</v>
      </c>
      <c r="H38" s="287" t="e">
        <f>'Solution 1, (hidden)'!U31</f>
        <v>#N/A</v>
      </c>
      <c r="I38" s="287" t="e">
        <f>'Solution  2, (hidden)'!U31</f>
        <v>#N/A</v>
      </c>
      <c r="J38" s="287" t="e">
        <f>'Solution 1, (hidden) (2)'!U31</f>
        <v>#N/A</v>
      </c>
      <c r="K38" s="287" t="e">
        <f>'Solution  2, (hidden) (2)'!U31</f>
        <v>#N/A</v>
      </c>
    </row>
    <row r="39" spans="3:11" x14ac:dyDescent="0.25">
      <c r="C39" s="285" t="str">
        <f>'Solution 1, (hidden)'!B32</f>
        <v xml:space="preserve"> </v>
      </c>
      <c r="D39" s="285" t="str">
        <f>'Solution  2, (hidden)'!B32</f>
        <v xml:space="preserve"> </v>
      </c>
      <c r="E39" s="285" t="str">
        <f>IF('2. Inputs and results'!$C$21&gt;='2. Inputs and results'!$B$21,'Solution  2, (hidden)'!B32,'Solution 1, (hidden)'!B32)</f>
        <v xml:space="preserve"> </v>
      </c>
      <c r="F39" s="287" t="e">
        <f>'Solution 1, (hidden)'!Z32</f>
        <v>#N/A</v>
      </c>
      <c r="G39" s="287" t="e">
        <f>'Solution  2, (hidden)'!Z32</f>
        <v>#N/A</v>
      </c>
      <c r="H39" s="287" t="e">
        <f>'Solution 1, (hidden)'!U32</f>
        <v>#N/A</v>
      </c>
      <c r="I39" s="287" t="e">
        <f>'Solution  2, (hidden)'!U32</f>
        <v>#N/A</v>
      </c>
      <c r="J39" s="287" t="e">
        <f>'Solution 1, (hidden) (2)'!U32</f>
        <v>#N/A</v>
      </c>
      <c r="K39" s="287" t="e">
        <f>'Solution  2, (hidden) (2)'!U32</f>
        <v>#N/A</v>
      </c>
    </row>
    <row r="40" spans="3:11" x14ac:dyDescent="0.25">
      <c r="C40" s="285" t="str">
        <f>'Solution 1, (hidden)'!B33</f>
        <v xml:space="preserve"> </v>
      </c>
      <c r="D40" s="285" t="str">
        <f>'Solution  2, (hidden)'!B33</f>
        <v xml:space="preserve"> </v>
      </c>
      <c r="E40" s="285" t="str">
        <f>IF('2. Inputs and results'!$C$21&gt;='2. Inputs and results'!$B$21,'Solution  2, (hidden)'!B33,'Solution 1, (hidden)'!B33)</f>
        <v xml:space="preserve"> </v>
      </c>
      <c r="F40" s="287" t="e">
        <f>'Solution 1, (hidden)'!Z33</f>
        <v>#N/A</v>
      </c>
      <c r="G40" s="287" t="e">
        <f>'Solution  2, (hidden)'!Z33</f>
        <v>#N/A</v>
      </c>
      <c r="H40" s="287" t="e">
        <f>'Solution 1, (hidden)'!U33</f>
        <v>#N/A</v>
      </c>
      <c r="I40" s="287" t="e">
        <f>'Solution  2, (hidden)'!U33</f>
        <v>#N/A</v>
      </c>
      <c r="J40" s="287" t="e">
        <f>'Solution 1, (hidden) (2)'!U33</f>
        <v>#N/A</v>
      </c>
      <c r="K40" s="287" t="e">
        <f>'Solution  2, (hidden) (2)'!U33</f>
        <v>#N/A</v>
      </c>
    </row>
    <row r="41" spans="3:11" x14ac:dyDescent="0.25">
      <c r="C41" s="285" t="str">
        <f>'Solution 1, (hidden)'!B34</f>
        <v xml:space="preserve"> </v>
      </c>
      <c r="D41" s="285" t="str">
        <f>'Solution  2, (hidden)'!B34</f>
        <v xml:space="preserve"> </v>
      </c>
      <c r="E41" s="285" t="str">
        <f>IF('2. Inputs and results'!$C$21&gt;='2. Inputs and results'!$B$21,'Solution  2, (hidden)'!B34,'Solution 1, (hidden)'!B34)</f>
        <v xml:space="preserve"> </v>
      </c>
      <c r="F41" s="287" t="e">
        <f>'Solution 1, (hidden)'!Z34</f>
        <v>#N/A</v>
      </c>
      <c r="G41" s="287" t="e">
        <f>'Solution  2, (hidden)'!Z34</f>
        <v>#N/A</v>
      </c>
      <c r="H41" s="287" t="e">
        <f>'Solution 1, (hidden)'!U34</f>
        <v>#N/A</v>
      </c>
      <c r="I41" s="287" t="e">
        <f>'Solution  2, (hidden)'!U34</f>
        <v>#N/A</v>
      </c>
      <c r="J41" s="287" t="e">
        <f>'Solution 1, (hidden) (2)'!U34</f>
        <v>#N/A</v>
      </c>
      <c r="K41" s="287" t="e">
        <f>'Solution  2, (hidden) (2)'!U34</f>
        <v>#N/A</v>
      </c>
    </row>
    <row r="42" spans="3:11" x14ac:dyDescent="0.25">
      <c r="C42" s="285" t="str">
        <f>'Solution 1, (hidden)'!B35</f>
        <v xml:space="preserve"> </v>
      </c>
      <c r="D42" s="285" t="str">
        <f>'Solution  2, (hidden)'!B35</f>
        <v xml:space="preserve"> </v>
      </c>
      <c r="E42" s="285" t="str">
        <f>IF('2. Inputs and results'!$C$21&gt;='2. Inputs and results'!$B$21,'Solution  2, (hidden)'!B35,'Solution 1, (hidden)'!B35)</f>
        <v xml:space="preserve"> </v>
      </c>
      <c r="F42" s="287" t="e">
        <f>'Solution 1, (hidden)'!Z35</f>
        <v>#N/A</v>
      </c>
      <c r="G42" s="287" t="e">
        <f>'Solution  2, (hidden)'!Z35</f>
        <v>#N/A</v>
      </c>
      <c r="H42" s="287" t="e">
        <f>'Solution 1, (hidden)'!U35</f>
        <v>#N/A</v>
      </c>
      <c r="I42" s="287" t="e">
        <f>'Solution  2, (hidden)'!U35</f>
        <v>#N/A</v>
      </c>
      <c r="J42" s="287" t="e">
        <f>'Solution 1, (hidden) (2)'!U35</f>
        <v>#N/A</v>
      </c>
      <c r="K42" s="287" t="e">
        <f>'Solution  2, (hidden) (2)'!U35</f>
        <v>#N/A</v>
      </c>
    </row>
    <row r="43" spans="3:11" x14ac:dyDescent="0.25">
      <c r="C43" s="285" t="str">
        <f>'Solution 1, (hidden)'!B36</f>
        <v xml:space="preserve"> </v>
      </c>
      <c r="D43" s="285" t="str">
        <f>'Solution  2, (hidden)'!B36</f>
        <v xml:space="preserve"> </v>
      </c>
      <c r="E43" s="285" t="str">
        <f>IF('2. Inputs and results'!$C$21&gt;='2. Inputs and results'!$B$21,'Solution  2, (hidden)'!B36,'Solution 1, (hidden)'!B36)</f>
        <v xml:space="preserve"> </v>
      </c>
      <c r="F43" s="288" t="e">
        <f>'Solution 1, (hidden)'!Z36</f>
        <v>#N/A</v>
      </c>
      <c r="G43" s="288" t="e">
        <f>'Solution  2, (hidden)'!Z36</f>
        <v>#N/A</v>
      </c>
      <c r="H43" s="288" t="e">
        <f>'Solution 1, (hidden)'!U36</f>
        <v>#N/A</v>
      </c>
      <c r="I43" s="288" t="e">
        <f>'Solution  2, (hidden)'!U36</f>
        <v>#N/A</v>
      </c>
      <c r="J43" s="287" t="e">
        <f>'Solution 1, (hidden) (2)'!U36</f>
        <v>#N/A</v>
      </c>
      <c r="K43" s="287" t="e">
        <f>'Solution  2, (hidden) (2)'!U36</f>
        <v>#N/A</v>
      </c>
    </row>
    <row r="44" spans="3:11" x14ac:dyDescent="0.25">
      <c r="C44" s="285" t="str">
        <f>'Solution 1, (hidden)'!B37</f>
        <v xml:space="preserve"> </v>
      </c>
      <c r="D44" s="285" t="str">
        <f>'Solution  2, (hidden)'!B37</f>
        <v xml:space="preserve"> </v>
      </c>
      <c r="E44" s="285" t="str">
        <f>IF('2. Inputs and results'!$C$21&gt;='2. Inputs and results'!$B$21,'Solution  2, (hidden)'!B37,'Solution 1, (hidden)'!B37)</f>
        <v xml:space="preserve"> </v>
      </c>
      <c r="F44" s="288" t="e">
        <f>'Solution 1, (hidden)'!Z37</f>
        <v>#N/A</v>
      </c>
      <c r="G44" s="288" t="e">
        <f>'Solution  2, (hidden)'!Z37</f>
        <v>#N/A</v>
      </c>
      <c r="H44" s="288" t="e">
        <f>'Solution 1, (hidden)'!U37</f>
        <v>#N/A</v>
      </c>
      <c r="I44" s="288" t="e">
        <f>'Solution  2, (hidden)'!U37</f>
        <v>#N/A</v>
      </c>
      <c r="J44" s="287" t="e">
        <f>'Solution 1, (hidden) (2)'!U37</f>
        <v>#N/A</v>
      </c>
      <c r="K44" s="287" t="e">
        <f>'Solution  2, (hidden) (2)'!U37</f>
        <v>#N/A</v>
      </c>
    </row>
    <row r="45" spans="3:11" x14ac:dyDescent="0.25">
      <c r="C45" s="285" t="str">
        <f>'Solution 1, (hidden)'!B38</f>
        <v xml:space="preserve"> </v>
      </c>
      <c r="D45" s="285" t="str">
        <f>'Solution  2, (hidden)'!B38</f>
        <v xml:space="preserve"> </v>
      </c>
      <c r="E45" s="285" t="str">
        <f>IF('2. Inputs and results'!$C$21&gt;='2. Inputs and results'!$B$21,'Solution  2, (hidden)'!B38,'Solution 1, (hidden)'!B38)</f>
        <v xml:space="preserve"> </v>
      </c>
      <c r="F45" s="288" t="e">
        <f>'Solution 1, (hidden)'!Z38</f>
        <v>#N/A</v>
      </c>
      <c r="G45" s="288" t="e">
        <f>'Solution  2, (hidden)'!Z38</f>
        <v>#N/A</v>
      </c>
      <c r="H45" s="288" t="e">
        <f>'Solution 1, (hidden)'!U38</f>
        <v>#N/A</v>
      </c>
      <c r="I45" s="288" t="e">
        <f>'Solution  2, (hidden)'!U38</f>
        <v>#N/A</v>
      </c>
      <c r="J45" s="287" t="e">
        <f>'Solution 1, (hidden) (2)'!U38</f>
        <v>#N/A</v>
      </c>
      <c r="K45" s="287" t="e">
        <f>'Solution  2, (hidden) (2)'!U38</f>
        <v>#N/A</v>
      </c>
    </row>
    <row r="46" spans="3:11" x14ac:dyDescent="0.25">
      <c r="C46" s="285" t="str">
        <f>'Solution 1, (hidden)'!B39</f>
        <v xml:space="preserve"> </v>
      </c>
      <c r="D46" s="285" t="str">
        <f>'Solution  2, (hidden)'!B39</f>
        <v xml:space="preserve"> </v>
      </c>
      <c r="E46" s="285" t="str">
        <f>IF('2. Inputs and results'!$C$21&gt;='2. Inputs and results'!$B$21,'Solution  2, (hidden)'!B39,'Solution 1, (hidden)'!B39)</f>
        <v xml:space="preserve"> </v>
      </c>
      <c r="F46" s="288" t="e">
        <f>'Solution 1, (hidden)'!Z39</f>
        <v>#N/A</v>
      </c>
      <c r="G46" s="288" t="e">
        <f>'Solution  2, (hidden)'!Z39</f>
        <v>#N/A</v>
      </c>
      <c r="H46" s="288" t="e">
        <f>'Solution 1, (hidden)'!U39</f>
        <v>#N/A</v>
      </c>
      <c r="I46" s="288" t="e">
        <f>'Solution  2, (hidden)'!U39</f>
        <v>#N/A</v>
      </c>
      <c r="J46" s="287" t="e">
        <f>'Solution 1, (hidden) (2)'!U39</f>
        <v>#N/A</v>
      </c>
      <c r="K46" s="287" t="e">
        <f>'Solution  2, (hidden) (2)'!U39</f>
        <v>#N/A</v>
      </c>
    </row>
    <row r="47" spans="3:11" x14ac:dyDescent="0.25">
      <c r="C47" s="285" t="str">
        <f>'Solution 1, (hidden)'!B40</f>
        <v xml:space="preserve"> </v>
      </c>
      <c r="D47" s="285" t="str">
        <f>'Solution  2, (hidden)'!B40</f>
        <v xml:space="preserve"> </v>
      </c>
      <c r="E47" s="285" t="str">
        <f>IF('2. Inputs and results'!$C$21&gt;='2. Inputs and results'!$B$21,'Solution  2, (hidden)'!B40,'Solution 1, (hidden)'!B40)</f>
        <v xml:space="preserve"> </v>
      </c>
      <c r="F47" s="288" t="e">
        <f>'Solution 1, (hidden)'!Z40</f>
        <v>#N/A</v>
      </c>
      <c r="G47" s="288" t="e">
        <f>'Solution  2, (hidden)'!Z40</f>
        <v>#N/A</v>
      </c>
      <c r="H47" s="288" t="e">
        <f>'Solution 1, (hidden)'!U40</f>
        <v>#N/A</v>
      </c>
      <c r="I47" s="288" t="e">
        <f>'Solution  2, (hidden)'!U40</f>
        <v>#N/A</v>
      </c>
      <c r="J47" s="287" t="e">
        <f>'Solution 1, (hidden) (2)'!U40</f>
        <v>#N/A</v>
      </c>
      <c r="K47" s="287" t="e">
        <f>'Solution  2, (hidden) (2)'!U40</f>
        <v>#N/A</v>
      </c>
    </row>
    <row r="48" spans="3:11" x14ac:dyDescent="0.25">
      <c r="C48" s="285" t="str">
        <f>'Solution 1, (hidden)'!B41</f>
        <v xml:space="preserve"> </v>
      </c>
      <c r="D48" s="285" t="str">
        <f>'Solution  2, (hidden)'!B41</f>
        <v xml:space="preserve"> </v>
      </c>
      <c r="E48" s="285" t="str">
        <f>IF('2. Inputs and results'!$C$21&gt;='2. Inputs and results'!$B$21,'Solution  2, (hidden)'!B41,'Solution 1, (hidden)'!B41)</f>
        <v xml:space="preserve"> </v>
      </c>
      <c r="F48" s="288" t="e">
        <f>'Solution 1, (hidden)'!Z41</f>
        <v>#N/A</v>
      </c>
      <c r="G48" s="288" t="e">
        <f>'Solution  2, (hidden)'!Z41</f>
        <v>#N/A</v>
      </c>
      <c r="H48" s="288" t="e">
        <f>'Solution 1, (hidden)'!U41</f>
        <v>#N/A</v>
      </c>
      <c r="I48" s="288" t="e">
        <f>'Solution  2, (hidden)'!U41</f>
        <v>#N/A</v>
      </c>
      <c r="J48" s="287" t="e">
        <f>'Solution 1, (hidden) (2)'!U41</f>
        <v>#N/A</v>
      </c>
      <c r="K48" s="287" t="e">
        <f>'Solution  2, (hidden) (2)'!U41</f>
        <v>#N/A</v>
      </c>
    </row>
    <row r="49" spans="3:11" x14ac:dyDescent="0.25">
      <c r="C49" s="285" t="str">
        <f>'Solution 1, (hidden)'!B42</f>
        <v xml:space="preserve"> </v>
      </c>
      <c r="D49" s="285" t="str">
        <f>'Solution  2, (hidden)'!B42</f>
        <v xml:space="preserve"> </v>
      </c>
      <c r="E49" s="285" t="str">
        <f>IF('2. Inputs and results'!$C$21&gt;='2. Inputs and results'!$B$21,'Solution  2, (hidden)'!B42,'Solution 1, (hidden)'!B42)</f>
        <v xml:space="preserve"> </v>
      </c>
      <c r="F49" s="288" t="e">
        <f>'Solution 1, (hidden)'!Z42</f>
        <v>#N/A</v>
      </c>
      <c r="G49" s="288" t="e">
        <f>'Solution  2, (hidden)'!Z42</f>
        <v>#N/A</v>
      </c>
      <c r="H49" s="288" t="e">
        <f>'Solution 1, (hidden)'!U42</f>
        <v>#N/A</v>
      </c>
      <c r="I49" s="288" t="e">
        <f>'Solution  2, (hidden)'!U42</f>
        <v>#N/A</v>
      </c>
      <c r="J49" s="287" t="e">
        <f>'Solution 1, (hidden) (2)'!U42</f>
        <v>#N/A</v>
      </c>
      <c r="K49" s="287" t="e">
        <f>'Solution  2, (hidden) (2)'!U42</f>
        <v>#N/A</v>
      </c>
    </row>
    <row r="50" spans="3:11" x14ac:dyDescent="0.25">
      <c r="C50" s="285" t="str">
        <f>'Solution 1, (hidden)'!B43</f>
        <v xml:space="preserve"> </v>
      </c>
      <c r="D50" s="285" t="str">
        <f>'Solution  2, (hidden)'!B43</f>
        <v xml:space="preserve"> </v>
      </c>
      <c r="E50" s="285" t="str">
        <f>IF('2. Inputs and results'!$C$21&gt;='2. Inputs and results'!$B$21,'Solution  2, (hidden)'!B43,'Solution 1, (hidden)'!B43)</f>
        <v xml:space="preserve"> </v>
      </c>
      <c r="F50" s="288" t="e">
        <f>'Solution 1, (hidden)'!Z43</f>
        <v>#N/A</v>
      </c>
      <c r="G50" s="288" t="e">
        <f>'Solution  2, (hidden)'!Z43</f>
        <v>#N/A</v>
      </c>
      <c r="H50" s="288" t="e">
        <f>'Solution 1, (hidden)'!U43</f>
        <v>#N/A</v>
      </c>
      <c r="I50" s="288" t="e">
        <f>'Solution  2, (hidden)'!U43</f>
        <v>#N/A</v>
      </c>
      <c r="J50" s="287" t="e">
        <f>'Solution 1, (hidden) (2)'!U43</f>
        <v>#N/A</v>
      </c>
      <c r="K50" s="287" t="e">
        <f>'Solution  2, (hidden) (2)'!U43</f>
        <v>#N/A</v>
      </c>
    </row>
    <row r="51" spans="3:11" x14ac:dyDescent="0.25">
      <c r="C51" s="285" t="str">
        <f>'Solution 1, (hidden)'!B44</f>
        <v xml:space="preserve"> </v>
      </c>
      <c r="D51" s="285" t="str">
        <f>'Solution  2, (hidden)'!B44</f>
        <v xml:space="preserve"> </v>
      </c>
      <c r="E51" s="285" t="str">
        <f>IF('2. Inputs and results'!$C$21&gt;='2. Inputs and results'!$B$21,'Solution  2, (hidden)'!B44,'Solution 1, (hidden)'!B44)</f>
        <v xml:space="preserve"> </v>
      </c>
      <c r="F51" s="288" t="e">
        <f>'Solution 1, (hidden)'!Z44</f>
        <v>#N/A</v>
      </c>
      <c r="G51" s="288" t="e">
        <f>'Solution  2, (hidden)'!Z44</f>
        <v>#N/A</v>
      </c>
      <c r="H51" s="288" t="e">
        <f>'Solution 1, (hidden)'!U44</f>
        <v>#N/A</v>
      </c>
      <c r="I51" s="288" t="e">
        <f>'Solution  2, (hidden)'!U44</f>
        <v>#N/A</v>
      </c>
      <c r="J51" s="287" t="e">
        <f>'Solution 1, (hidden) (2)'!U44</f>
        <v>#N/A</v>
      </c>
      <c r="K51" s="287" t="e">
        <f>'Solution  2, (hidden) (2)'!U44</f>
        <v>#N/A</v>
      </c>
    </row>
    <row r="52" spans="3:11" x14ac:dyDescent="0.25">
      <c r="C52" s="285" t="str">
        <f>'Solution 1, (hidden)'!B45</f>
        <v xml:space="preserve"> </v>
      </c>
      <c r="D52" s="285" t="str">
        <f>'Solution  2, (hidden)'!B45</f>
        <v xml:space="preserve"> </v>
      </c>
      <c r="E52" s="285" t="str">
        <f>IF('2. Inputs and results'!$C$21&gt;='2. Inputs and results'!$B$21,'Solution  2, (hidden)'!B45,'Solution 1, (hidden)'!B45)</f>
        <v xml:space="preserve"> </v>
      </c>
      <c r="F52" s="288" t="e">
        <f>'Solution 1, (hidden)'!Z45</f>
        <v>#N/A</v>
      </c>
      <c r="G52" s="288" t="e">
        <f>'Solution  2, (hidden)'!Z45</f>
        <v>#N/A</v>
      </c>
      <c r="H52" s="288" t="e">
        <f>'Solution 1, (hidden)'!U45</f>
        <v>#N/A</v>
      </c>
      <c r="I52" s="288" t="e">
        <f>'Solution  2, (hidden)'!U45</f>
        <v>#N/A</v>
      </c>
      <c r="J52" s="287" t="e">
        <f>'Solution 1, (hidden) (2)'!U45</f>
        <v>#N/A</v>
      </c>
      <c r="K52" s="287" t="e">
        <f>'Solution  2, (hidden) (2)'!U45</f>
        <v>#N/A</v>
      </c>
    </row>
    <row r="53" spans="3:11" x14ac:dyDescent="0.25">
      <c r="C53" s="285" t="str">
        <f>'Solution 1, (hidden)'!B46</f>
        <v xml:space="preserve"> </v>
      </c>
      <c r="D53" s="285" t="str">
        <f>'Solution  2, (hidden)'!B46</f>
        <v xml:space="preserve"> </v>
      </c>
      <c r="E53" s="285" t="str">
        <f>IF('2. Inputs and results'!$C$21&gt;='2. Inputs and results'!$B$21,'Solution  2, (hidden)'!B46,'Solution 1, (hidden)'!B46)</f>
        <v xml:space="preserve"> </v>
      </c>
      <c r="F53" s="288" t="e">
        <f>'Solution 1, (hidden)'!Z46</f>
        <v>#N/A</v>
      </c>
      <c r="G53" s="288" t="e">
        <f>'Solution  2, (hidden)'!Z46</f>
        <v>#N/A</v>
      </c>
      <c r="H53" s="288" t="e">
        <f>'Solution 1, (hidden)'!U46</f>
        <v>#N/A</v>
      </c>
      <c r="I53" s="288" t="e">
        <f>'Solution  2, (hidden)'!U46</f>
        <v>#N/A</v>
      </c>
      <c r="J53" s="287" t="e">
        <f>'Solution 1, (hidden) (2)'!U46</f>
        <v>#N/A</v>
      </c>
      <c r="K53" s="287" t="e">
        <f>'Solution  2, (hidden) (2)'!U46</f>
        <v>#N/A</v>
      </c>
    </row>
    <row r="54" spans="3:11" x14ac:dyDescent="0.25">
      <c r="C54" s="285" t="str">
        <f>'Solution 1, (hidden)'!B47</f>
        <v xml:space="preserve"> </v>
      </c>
      <c r="D54" s="285" t="str">
        <f>'Solution  2, (hidden)'!B47</f>
        <v xml:space="preserve"> </v>
      </c>
      <c r="E54" s="285" t="str">
        <f>IF('2. Inputs and results'!$C$21&gt;='2. Inputs and results'!$B$21,'Solution  2, (hidden)'!B47,'Solution 1, (hidden)'!B47)</f>
        <v xml:space="preserve"> </v>
      </c>
      <c r="F54" s="288" t="e">
        <f>'Solution 1, (hidden)'!Z47</f>
        <v>#N/A</v>
      </c>
      <c r="G54" s="288" t="e">
        <f>'Solution  2, (hidden)'!Z47</f>
        <v>#N/A</v>
      </c>
      <c r="H54" s="288" t="e">
        <f>'Solution 1, (hidden)'!U47</f>
        <v>#N/A</v>
      </c>
      <c r="I54" s="288" t="e">
        <f>'Solution  2, (hidden)'!U47</f>
        <v>#N/A</v>
      </c>
      <c r="J54" s="287" t="e">
        <f>'Solution 1, (hidden) (2)'!U47</f>
        <v>#N/A</v>
      </c>
      <c r="K54" s="287" t="e">
        <f>'Solution  2, (hidden) (2)'!U47</f>
        <v>#N/A</v>
      </c>
    </row>
    <row r="55" spans="3:11" x14ac:dyDescent="0.25">
      <c r="C55" s="285" t="str">
        <f>'Solution 1, (hidden)'!B48</f>
        <v xml:space="preserve"> </v>
      </c>
      <c r="D55" s="285" t="str">
        <f>'Solution  2, (hidden)'!B48</f>
        <v xml:space="preserve"> </v>
      </c>
      <c r="E55" s="285" t="str">
        <f>IF('2. Inputs and results'!$C$21&gt;='2. Inputs and results'!$B$21,'Solution  2, (hidden)'!B48,'Solution 1, (hidden)'!B48)</f>
        <v xml:space="preserve"> </v>
      </c>
      <c r="F55" s="288" t="e">
        <f>'Solution 1, (hidden)'!Z48</f>
        <v>#N/A</v>
      </c>
      <c r="G55" s="288" t="e">
        <f>'Solution  2, (hidden)'!Z48</f>
        <v>#N/A</v>
      </c>
      <c r="H55" s="288" t="e">
        <f>'Solution 1, (hidden)'!U48</f>
        <v>#N/A</v>
      </c>
      <c r="I55" s="288" t="e">
        <f>'Solution  2, (hidden)'!U48</f>
        <v>#N/A</v>
      </c>
      <c r="J55" s="287" t="e">
        <f>'Solution 1, (hidden) (2)'!U48</f>
        <v>#N/A</v>
      </c>
      <c r="K55" s="287" t="e">
        <f>'Solution  2, (hidden) (2)'!U48</f>
        <v>#N/A</v>
      </c>
    </row>
    <row r="56" spans="3:11" x14ac:dyDescent="0.25">
      <c r="C56" s="285" t="str">
        <f>'Solution 1, (hidden)'!B49</f>
        <v xml:space="preserve"> </v>
      </c>
      <c r="D56" s="285" t="str">
        <f>'Solution  2, (hidden)'!B49</f>
        <v xml:space="preserve"> </v>
      </c>
      <c r="E56" s="285" t="str">
        <f>IF('2. Inputs and results'!$C$21&gt;='2. Inputs and results'!$B$21,'Solution  2, (hidden)'!B49,'Solution 1, (hidden)'!B49)</f>
        <v xml:space="preserve"> </v>
      </c>
      <c r="F56" s="288" t="e">
        <f>'Solution 1, (hidden)'!Z49</f>
        <v>#N/A</v>
      </c>
      <c r="G56" s="288" t="e">
        <f>'Solution  2, (hidden)'!Z49</f>
        <v>#N/A</v>
      </c>
      <c r="H56" s="288" t="e">
        <f>'Solution 1, (hidden)'!U49</f>
        <v>#N/A</v>
      </c>
      <c r="I56" s="288" t="e">
        <f>'Solution  2, (hidden)'!U49</f>
        <v>#N/A</v>
      </c>
      <c r="J56" s="287" t="e">
        <f>'Solution 1, (hidden) (2)'!U49</f>
        <v>#N/A</v>
      </c>
      <c r="K56" s="287" t="e">
        <f>'Solution  2, (hidden) (2)'!U49</f>
        <v>#N/A</v>
      </c>
    </row>
    <row r="57" spans="3:11" x14ac:dyDescent="0.25">
      <c r="C57" s="285" t="str">
        <f>'Solution 1, (hidden)'!B50</f>
        <v xml:space="preserve"> </v>
      </c>
      <c r="D57" s="285" t="str">
        <f>'Solution  2, (hidden)'!B50</f>
        <v xml:space="preserve"> </v>
      </c>
      <c r="E57" s="285" t="str">
        <f>IF('2. Inputs and results'!$C$21&gt;='2. Inputs and results'!$B$21,'Solution  2, (hidden)'!B50,'Solution 1, (hidden)'!B50)</f>
        <v xml:space="preserve"> </v>
      </c>
      <c r="F57" s="288" t="e">
        <f>'Solution 1, (hidden)'!Z50</f>
        <v>#N/A</v>
      </c>
      <c r="G57" s="288" t="e">
        <f>'Solution  2, (hidden)'!Z50</f>
        <v>#N/A</v>
      </c>
      <c r="H57" s="288" t="e">
        <f>'Solution 1, (hidden)'!U50</f>
        <v>#N/A</v>
      </c>
      <c r="I57" s="288" t="e">
        <f>'Solution  2, (hidden)'!U50</f>
        <v>#N/A</v>
      </c>
      <c r="J57" s="287" t="e">
        <f>'Solution 1, (hidden) (2)'!U50</f>
        <v>#N/A</v>
      </c>
      <c r="K57" s="287" t="e">
        <f>'Solution  2, (hidden) (2)'!U50</f>
        <v>#N/A</v>
      </c>
    </row>
    <row r="58" spans="3:11" x14ac:dyDescent="0.25">
      <c r="C58" s="285" t="str">
        <f>'Solution 1, (hidden)'!B51</f>
        <v xml:space="preserve"> </v>
      </c>
      <c r="D58" s="285" t="str">
        <f>'Solution  2, (hidden)'!B51</f>
        <v xml:space="preserve"> </v>
      </c>
      <c r="E58" s="285" t="str">
        <f>IF('2. Inputs and results'!$C$21&gt;='2. Inputs and results'!$B$21,'Solution  2, (hidden)'!B51,'Solution 1, (hidden)'!B51)</f>
        <v xml:space="preserve"> </v>
      </c>
      <c r="F58" s="288" t="e">
        <f>'Solution 1, (hidden)'!Z51</f>
        <v>#N/A</v>
      </c>
      <c r="G58" s="288" t="e">
        <f>'Solution  2, (hidden)'!Z51</f>
        <v>#N/A</v>
      </c>
      <c r="H58" s="288" t="e">
        <f>'Solution 1, (hidden)'!U51</f>
        <v>#N/A</v>
      </c>
      <c r="I58" s="288" t="e">
        <f>'Solution  2, (hidden)'!U51</f>
        <v>#N/A</v>
      </c>
      <c r="J58" s="287" t="e">
        <f>'Solution 1, (hidden) (2)'!U51</f>
        <v>#N/A</v>
      </c>
      <c r="K58" s="287" t="e">
        <f>'Solution  2, (hidden) (2)'!U51</f>
        <v>#N/A</v>
      </c>
    </row>
    <row r="59" spans="3:11" x14ac:dyDescent="0.25">
      <c r="C59" s="285" t="str">
        <f>'Solution 1, (hidden)'!B52</f>
        <v xml:space="preserve"> </v>
      </c>
      <c r="D59" s="285" t="str">
        <f>'Solution  2, (hidden)'!B52</f>
        <v xml:space="preserve"> </v>
      </c>
      <c r="E59" s="285" t="str">
        <f>IF('2. Inputs and results'!$C$21&gt;='2. Inputs and results'!$B$21,'Solution  2, (hidden)'!B52,'Solution 1, (hidden)'!B52)</f>
        <v xml:space="preserve"> </v>
      </c>
      <c r="F59" s="288" t="e">
        <f>'Solution 1, (hidden)'!Z52</f>
        <v>#N/A</v>
      </c>
      <c r="G59" s="288" t="e">
        <f>'Solution  2, (hidden)'!Z52</f>
        <v>#N/A</v>
      </c>
      <c r="H59" s="288" t="e">
        <f>'Solution 1, (hidden)'!U52</f>
        <v>#N/A</v>
      </c>
      <c r="I59" s="288" t="e">
        <f>'Solution  2, (hidden)'!U52</f>
        <v>#N/A</v>
      </c>
      <c r="J59" s="287" t="e">
        <f>'Solution 1, (hidden) (2)'!U52</f>
        <v>#N/A</v>
      </c>
      <c r="K59" s="287" t="e">
        <f>'Solution  2, (hidden) (2)'!U52</f>
        <v>#N/A</v>
      </c>
    </row>
    <row r="60" spans="3:11" x14ac:dyDescent="0.25">
      <c r="C60" s="285" t="str">
        <f>'Solution 1, (hidden)'!B53</f>
        <v xml:space="preserve"> </v>
      </c>
      <c r="D60" s="285" t="str">
        <f>'Solution  2, (hidden)'!B53</f>
        <v xml:space="preserve"> </v>
      </c>
      <c r="E60" s="285" t="str">
        <f>IF('2. Inputs and results'!$C$21&gt;='2. Inputs and results'!$B$21,'Solution  2, (hidden)'!B53,'Solution 1, (hidden)'!B53)</f>
        <v xml:space="preserve"> </v>
      </c>
      <c r="F60" s="288" t="e">
        <f>'Solution 1, (hidden)'!Z53</f>
        <v>#N/A</v>
      </c>
      <c r="G60" s="288" t="e">
        <f>'Solution  2, (hidden)'!Z53</f>
        <v>#N/A</v>
      </c>
      <c r="H60" s="288" t="e">
        <f>'Solution 1, (hidden)'!U53</f>
        <v>#N/A</v>
      </c>
      <c r="I60" s="288" t="e">
        <f>'Solution  2, (hidden)'!U53</f>
        <v>#N/A</v>
      </c>
      <c r="J60" s="287" t="e">
        <f>'Solution 1, (hidden) (2)'!U53</f>
        <v>#N/A</v>
      </c>
      <c r="K60" s="287" t="e">
        <f>'Solution  2, (hidden) (2)'!U53</f>
        <v>#N/A</v>
      </c>
    </row>
    <row r="61" spans="3:11" x14ac:dyDescent="0.25">
      <c r="C61" s="285" t="str">
        <f>'Solution 1, (hidden)'!B54</f>
        <v xml:space="preserve"> </v>
      </c>
      <c r="D61" s="285" t="str">
        <f>'Solution  2, (hidden)'!B54</f>
        <v xml:space="preserve"> </v>
      </c>
      <c r="E61" s="285" t="str">
        <f>IF('2. Inputs and results'!$C$21&gt;='2. Inputs and results'!$B$21,'Solution  2, (hidden)'!B54,'Solution 1, (hidden)'!B54)</f>
        <v xml:space="preserve"> </v>
      </c>
      <c r="F61" s="288" t="e">
        <f>'Solution 1, (hidden)'!Z54</f>
        <v>#N/A</v>
      </c>
      <c r="G61" s="288" t="e">
        <f>'Solution  2, (hidden)'!Z54</f>
        <v>#N/A</v>
      </c>
      <c r="H61" s="288" t="e">
        <f>'Solution 1, (hidden)'!U54</f>
        <v>#N/A</v>
      </c>
      <c r="I61" s="288" t="e">
        <f>'Solution  2, (hidden)'!U54</f>
        <v>#N/A</v>
      </c>
      <c r="J61" s="287" t="e">
        <f>'Solution 1, (hidden) (2)'!U54</f>
        <v>#N/A</v>
      </c>
      <c r="K61" s="287" t="e">
        <f>'Solution  2, (hidden) (2)'!U54</f>
        <v>#N/A</v>
      </c>
    </row>
    <row r="62" spans="3:11" x14ac:dyDescent="0.25">
      <c r="C62" s="285" t="str">
        <f>'Solution 1, (hidden)'!B55</f>
        <v xml:space="preserve"> </v>
      </c>
      <c r="D62" s="285" t="str">
        <f>'Solution  2, (hidden)'!B55</f>
        <v xml:space="preserve"> </v>
      </c>
      <c r="E62" s="285" t="str">
        <f>IF('2. Inputs and results'!$C$21&gt;='2. Inputs and results'!$B$21,'Solution  2, (hidden)'!B55,'Solution 1, (hidden)'!B55)</f>
        <v xml:space="preserve"> </v>
      </c>
      <c r="F62" s="288" t="e">
        <f>'Solution 1, (hidden)'!Z55</f>
        <v>#N/A</v>
      </c>
      <c r="G62" s="288" t="e">
        <f>'Solution  2, (hidden)'!Z55</f>
        <v>#N/A</v>
      </c>
      <c r="H62" s="288" t="e">
        <f>'Solution 1, (hidden)'!U55</f>
        <v>#N/A</v>
      </c>
      <c r="I62" s="288" t="e">
        <f>'Solution  2, (hidden)'!U55</f>
        <v>#N/A</v>
      </c>
      <c r="J62" s="287" t="e">
        <f>'Solution 1, (hidden) (2)'!U55</f>
        <v>#N/A</v>
      </c>
      <c r="K62" s="287" t="e">
        <f>'Solution  2, (hidden) (2)'!U55</f>
        <v>#N/A</v>
      </c>
    </row>
    <row r="63" spans="3:11" x14ac:dyDescent="0.25">
      <c r="F63" s="30"/>
      <c r="G63" s="30"/>
      <c r="H63" s="30"/>
      <c r="I63" s="30"/>
    </row>
  </sheetData>
  <sheetProtection sheet="1" objects="1" scenarios="1"/>
  <conditionalFormatting sqref="E12:I62">
    <cfRule type="containsErrors" dxfId="34" priority="3">
      <formula>ISERROR(E12)</formula>
    </cfRule>
  </conditionalFormatting>
  <conditionalFormatting sqref="J1:K1048576">
    <cfRule type="containsErrors" dxfId="33" priority="2">
      <formula>ISERROR(J1)</formula>
    </cfRule>
  </conditionalFormatting>
  <conditionalFormatting sqref="F12:K62">
    <cfRule type="cellIs" dxfId="32" priority="1" operator="lessThan">
      <formula>0</formula>
    </cfRule>
  </conditionalFormatting>
  <pageMargins left="0.7" right="0.7" top="0.75" bottom="0.75" header="0.3" footer="0.3"/>
  <pageSetup paperSize="9" scale="3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pageSetUpPr fitToPage="1"/>
  </sheetPr>
  <dimension ref="H1:N54"/>
  <sheetViews>
    <sheetView topLeftCell="A10" zoomScaleNormal="100" workbookViewId="0">
      <selection activeCell="L11" sqref="L11"/>
    </sheetView>
  </sheetViews>
  <sheetFormatPr defaultRowHeight="15" x14ac:dyDescent="0.25"/>
  <cols>
    <col min="10" max="10" width="0" hidden="1" customWidth="1"/>
    <col min="11" max="11" width="32.5703125" customWidth="1"/>
    <col min="12" max="12" width="27.28515625" customWidth="1"/>
    <col min="13" max="13" width="33.42578125" customWidth="1"/>
    <col min="14" max="14" width="15.140625" customWidth="1"/>
  </cols>
  <sheetData>
    <row r="1" spans="8:14" x14ac:dyDescent="0.25">
      <c r="H1" t="s">
        <v>109</v>
      </c>
      <c r="I1" t="s">
        <v>110</v>
      </c>
      <c r="J1" s="5"/>
      <c r="K1" t="s">
        <v>128</v>
      </c>
      <c r="L1" t="s">
        <v>129</v>
      </c>
      <c r="M1" t="s">
        <v>130</v>
      </c>
      <c r="N1" t="s">
        <v>131</v>
      </c>
    </row>
    <row r="2" spans="8:14" x14ac:dyDescent="0.25">
      <c r="J2" s="2" t="s">
        <v>49</v>
      </c>
      <c r="K2" s="2" t="str">
        <f>'2. Inputs and results'!B19</f>
        <v xml:space="preserve">Ventilation system with heat recovery </v>
      </c>
      <c r="L2" s="2" t="str">
        <f>'2. Inputs and results'!C19</f>
        <v>Geothermal heat pump system</v>
      </c>
      <c r="M2" s="2" t="str">
        <f>'2. Inputs and results'!B19</f>
        <v xml:space="preserve">Ventilation system with heat recovery </v>
      </c>
      <c r="N2" s="2" t="str">
        <f>'2. Inputs and results'!C19</f>
        <v>Geothermal heat pump system</v>
      </c>
    </row>
    <row r="3" spans="8:14" x14ac:dyDescent="0.25">
      <c r="J3" s="2"/>
      <c r="M3" s="2" t="s">
        <v>71</v>
      </c>
      <c r="N3" s="2" t="s">
        <v>71</v>
      </c>
    </row>
    <row r="4" spans="8:14" x14ac:dyDescent="0.25">
      <c r="H4">
        <f>'Solution 1, (hidden)'!B5</f>
        <v>0</v>
      </c>
      <c r="I4">
        <f>'Solution  2, (hidden)'!B5</f>
        <v>0</v>
      </c>
      <c r="J4">
        <f>IF('2. Inputs and results'!$C$21&gt;='2. Inputs and results'!$B$21,'Solution  2, (hidden)'!A5,'Solution 1, (hidden)'!A5)</f>
        <v>0</v>
      </c>
      <c r="K4" s="26">
        <f>'Solution 1, (hidden)'!AD5</f>
        <v>0</v>
      </c>
      <c r="L4" s="26">
        <f>'Solution  2, (hidden)'!AD5</f>
        <v>0</v>
      </c>
      <c r="M4" s="26">
        <f>'Solution 1, (hidden)'!AB5</f>
        <v>0</v>
      </c>
      <c r="N4" s="26">
        <f>'Solution  2, (hidden)'!AB5</f>
        <v>0</v>
      </c>
    </row>
    <row r="5" spans="8:14" x14ac:dyDescent="0.25">
      <c r="H5">
        <f>'Solution 1, (hidden)'!B6</f>
        <v>1</v>
      </c>
      <c r="I5">
        <f>'Solution  2, (hidden)'!B6</f>
        <v>1</v>
      </c>
      <c r="J5">
        <f>IF('2. Inputs and results'!$C$21&gt;='2. Inputs and results'!$B$21,'Solution  2, (hidden)'!B6,'Solution 1, (hidden)'!B6)</f>
        <v>1</v>
      </c>
      <c r="K5" s="26">
        <f>'Solution 1, (hidden)'!AD6</f>
        <v>4.1508951406649619E-2</v>
      </c>
      <c r="L5" s="26">
        <f>'Solution  2, (hidden)'!AD6</f>
        <v>8.4000000000000005E-2</v>
      </c>
      <c r="M5" s="26">
        <f>'Solution 1, (hidden)'!AB6</f>
        <v>4.1508951406649619E-2</v>
      </c>
      <c r="N5" s="26">
        <f>'Solution  2, (hidden)'!AB6</f>
        <v>8.4000000000000005E-2</v>
      </c>
    </row>
    <row r="6" spans="8:14" x14ac:dyDescent="0.25">
      <c r="H6">
        <f>'Solution 1, (hidden)'!B7</f>
        <v>2</v>
      </c>
      <c r="I6">
        <f>'Solution  2, (hidden)'!B7</f>
        <v>2</v>
      </c>
      <c r="J6">
        <f>IF('2. Inputs and results'!$C$21&gt;='2. Inputs and results'!$B$21,'Solution  2, (hidden)'!B7,'Solution 1, (hidden)'!B7)</f>
        <v>2</v>
      </c>
      <c r="K6" s="26">
        <f>'Solution 1, (hidden)'!AD7</f>
        <v>8.384808184143222E-2</v>
      </c>
      <c r="L6" s="26">
        <f>'Solution  2, (hidden)'!AD7</f>
        <v>0.16968</v>
      </c>
      <c r="M6" s="26">
        <f>'Solution 1, (hidden)'!AB7</f>
        <v>8.6046291560102295E-2</v>
      </c>
      <c r="N6" s="26">
        <f>'Solution  2, (hidden)'!AB7</f>
        <v>0.17315294117647059</v>
      </c>
    </row>
    <row r="7" spans="8:14" x14ac:dyDescent="0.25">
      <c r="H7">
        <f>'Solution 1, (hidden)'!B8</f>
        <v>3</v>
      </c>
      <c r="I7">
        <f>'Solution  2, (hidden)'!B8</f>
        <v>3</v>
      </c>
      <c r="J7">
        <f>IF('2. Inputs and results'!$C$21&gt;='2. Inputs and results'!$B$21,'Solution  2, (hidden)'!B8,'Solution 1, (hidden)'!B8)</f>
        <v>3</v>
      </c>
      <c r="K7" s="26">
        <f>'Solution 1, (hidden)'!AD8</f>
        <v>0.12703399488491049</v>
      </c>
      <c r="L7" s="26">
        <f>'Solution  2, (hidden)'!AD8</f>
        <v>0.25707360000000001</v>
      </c>
      <c r="M7" s="26">
        <f>'Solution 1, (hidden)'!AB8</f>
        <v>0.13373853452685422</v>
      </c>
      <c r="N7" s="26">
        <f>'Solution  2, (hidden)'!AB8</f>
        <v>0.26766607058823527</v>
      </c>
    </row>
    <row r="8" spans="8:14" x14ac:dyDescent="0.25">
      <c r="H8">
        <f>'Solution 1, (hidden)'!B9</f>
        <v>4</v>
      </c>
      <c r="I8">
        <f>'Solution  2, (hidden)'!B9</f>
        <v>4</v>
      </c>
      <c r="J8">
        <f>IF('2. Inputs and results'!$C$21&gt;='2. Inputs and results'!$B$21,'Solution  2, (hidden)'!B9,'Solution 1, (hidden)'!B9)</f>
        <v>4</v>
      </c>
      <c r="K8" s="26">
        <f>'Solution 1, (hidden)'!AD9</f>
        <v>0.17108362618925832</v>
      </c>
      <c r="L8" s="26">
        <f>'Solution  2, (hidden)'!AD9</f>
        <v>0.34621507200000001</v>
      </c>
      <c r="M8" s="26">
        <f>'Solution 1, (hidden)'!AB9</f>
        <v>0.18471670304347826</v>
      </c>
      <c r="N8" s="26">
        <f>'Solution  2, (hidden)'!AB9</f>
        <v>0.36775390588235296</v>
      </c>
    </row>
    <row r="9" spans="8:14" x14ac:dyDescent="0.25">
      <c r="H9">
        <f>'Solution 1, (hidden)'!B10</f>
        <v>5</v>
      </c>
      <c r="I9">
        <f>'Solution  2, (hidden)'!B10</f>
        <v>5</v>
      </c>
      <c r="J9">
        <f>IF('2. Inputs and results'!$C$21&gt;='2. Inputs and results'!$B$21,'Solution  2, (hidden)'!B10,'Solution 1, (hidden)'!B10)</f>
        <v>5</v>
      </c>
      <c r="K9" s="26">
        <f>'Solution 1, (hidden)'!AD10</f>
        <v>0.21601425011969308</v>
      </c>
      <c r="L9" s="26">
        <f>'Solution  2, (hidden)'!AD10</f>
        <v>0.43713937343999998</v>
      </c>
      <c r="M9" s="26">
        <f>'Solution 1, (hidden)'!AB10</f>
        <v>0.23911647804168798</v>
      </c>
      <c r="N9" s="26">
        <f>'Solution  2, (hidden)'!AB10</f>
        <v>0.47363847447529422</v>
      </c>
    </row>
    <row r="10" spans="8:14" x14ac:dyDescent="0.25">
      <c r="H10">
        <f>'Solution 1, (hidden)'!B11</f>
        <v>6</v>
      </c>
      <c r="I10">
        <f>'Solution  2, (hidden)'!B11</f>
        <v>6</v>
      </c>
      <c r="J10">
        <f>IF('2. Inputs and results'!$C$21&gt;='2. Inputs and results'!$B$21,'Solution  2, (hidden)'!B11,'Solution 1, (hidden)'!B11)</f>
        <v>6</v>
      </c>
      <c r="K10" s="26">
        <f>'Solution 1, (hidden)'!AD11</f>
        <v>0.26184348652873657</v>
      </c>
      <c r="L10" s="26">
        <f>'Solution  2, (hidden)'!AD11</f>
        <v>0.52988216090880003</v>
      </c>
      <c r="M10" s="26">
        <f>'Solution 1, (hidden)'!AB11</f>
        <v>0.29707835294445273</v>
      </c>
      <c r="N10" s="26">
        <f>'Solution  2, (hidden)'!AB11</f>
        <v>0.58554956033082373</v>
      </c>
    </row>
    <row r="11" spans="8:14" x14ac:dyDescent="0.25">
      <c r="H11">
        <f>'Solution 1, (hidden)'!B12</f>
        <v>7</v>
      </c>
      <c r="I11">
        <f>'Solution  2, (hidden)'!B12</f>
        <v>7</v>
      </c>
      <c r="J11">
        <f>IF('2. Inputs and results'!$C$21&gt;='2. Inputs and results'!$B$21,'Solution  2, (hidden)'!B12,'Solution 1, (hidden)'!B12)</f>
        <v>7</v>
      </c>
      <c r="K11" s="26">
        <f>'Solution 1, (hidden)'!AD12</f>
        <v>0.30858930766596093</v>
      </c>
      <c r="L11" s="26">
        <f>'Solution  2, (hidden)'!AD12</f>
        <v>0.62447980412697612</v>
      </c>
      <c r="M11" s="26">
        <f>'Solution 1, (hidden)'!AB12</f>
        <v>0.3587477928820012</v>
      </c>
      <c r="N11" s="26">
        <f>'Solution  2, (hidden)'!AB12</f>
        <v>0.7037249585709151</v>
      </c>
    </row>
    <row r="12" spans="8:14" x14ac:dyDescent="0.25">
      <c r="H12">
        <f>'Solution 1, (hidden)'!B13</f>
        <v>8</v>
      </c>
      <c r="I12">
        <f>'Solution  2, (hidden)'!B13</f>
        <v>8</v>
      </c>
      <c r="J12">
        <f>IF('2. Inputs and results'!$C$21&gt;='2. Inputs and results'!$B$21,'Solution  2, (hidden)'!B13,'Solution 1, (hidden)'!B13)</f>
        <v>8</v>
      </c>
      <c r="K12" s="26">
        <f>'Solution 1, (hidden)'!AD13</f>
        <v>0.35627004522592975</v>
      </c>
      <c r="L12" s="26">
        <f>'Solution  2, (hidden)'!AD13</f>
        <v>0.72096940020951561</v>
      </c>
      <c r="M12" s="26">
        <f>'Solution 1, (hidden)'!AB13</f>
        <v>0.42427539898113115</v>
      </c>
      <c r="N12" s="26">
        <f>'Solution  2, (hidden)'!AB13</f>
        <v>0.82841073816328314</v>
      </c>
    </row>
    <row r="13" spans="8:14" x14ac:dyDescent="0.25">
      <c r="H13">
        <f>'Solution 1, (hidden)'!B14</f>
        <v>9</v>
      </c>
      <c r="I13">
        <f>'Solution  2, (hidden)'!B14</f>
        <v>9</v>
      </c>
      <c r="J13">
        <f>IF('2. Inputs and results'!$C$21&gt;='2. Inputs and results'!$B$21,'Solution  2, (hidden)'!B14,'Solution 1, (hidden)'!B14)</f>
        <v>9</v>
      </c>
      <c r="K13" s="26">
        <f>'Solution 1, (hidden)'!AD14</f>
        <v>0.40490439753709795</v>
      </c>
      <c r="L13" s="26">
        <f>'Solution  2, (hidden)'!AD14</f>
        <v>0.81938878821370598</v>
      </c>
      <c r="M13" s="26">
        <f>'Solution 1, (hidden)'!AB14</f>
        <v>0.49381707788595885</v>
      </c>
      <c r="N13" s="26">
        <f>'Solution  2, (hidden)'!AB14</f>
        <v>0.95986151293659761</v>
      </c>
    </row>
    <row r="14" spans="8:14" x14ac:dyDescent="0.25">
      <c r="H14">
        <f>'Solution 1, (hidden)'!B15</f>
        <v>10</v>
      </c>
      <c r="I14">
        <f>'Solution  2, (hidden)'!B15</f>
        <v>10</v>
      </c>
      <c r="J14">
        <f>IF('2. Inputs and results'!$C$21&gt;='2. Inputs and results'!$B$21,'Solution  2, (hidden)'!B15,'Solution 1, (hidden)'!B15)</f>
        <v>10</v>
      </c>
      <c r="K14" s="26">
        <f>'Solution 1, (hidden)'!AD15</f>
        <v>0.45451143689448947</v>
      </c>
      <c r="L14" s="26">
        <f>'Solution  2, (hidden)'!AD15</f>
        <v>0.91977656397798013</v>
      </c>
      <c r="M14" s="26">
        <f>'Solution 1, (hidden)'!AB15</f>
        <v>0.56753421667310988</v>
      </c>
      <c r="N14" s="26">
        <f>'Solution  2, (hidden)'!AB15</f>
        <v>1.0983407211821503</v>
      </c>
    </row>
    <row r="15" spans="8:14" x14ac:dyDescent="0.25">
      <c r="H15">
        <f>'Solution 1, (hidden)'!B16</f>
        <v>11</v>
      </c>
      <c r="I15">
        <f>'Solution  2, (hidden)'!B16</f>
        <v>11</v>
      </c>
      <c r="J15">
        <f>IF('2. Inputs and results'!$C$21&gt;='2. Inputs and results'!$B$21,'Solution  2, (hidden)'!B16,'Solution 1, (hidden)'!B16)</f>
        <v>11</v>
      </c>
      <c r="K15" s="26">
        <f>'Solution 1, (hidden)'!AD16</f>
        <v>0.50511061703902893</v>
      </c>
      <c r="L15" s="26">
        <f>'Solution  2, (hidden)'!AD16</f>
        <v>1.0221720952575397</v>
      </c>
      <c r="M15" s="26">
        <f>'Solution 1, (hidden)'!AB16</f>
        <v>0.64559386332935742</v>
      </c>
      <c r="N15" s="26">
        <f>'Solution  2, (hidden)'!AB16</f>
        <v>1.2421540996850462</v>
      </c>
    </row>
    <row r="16" spans="8:14" x14ac:dyDescent="0.25">
      <c r="H16">
        <f>'Solution 1, (hidden)'!B17</f>
        <v>12</v>
      </c>
      <c r="I16">
        <f>'Solution  2, (hidden)'!B17</f>
        <v>12</v>
      </c>
      <c r="J16">
        <f>IF('2. Inputs and results'!$C$21&gt;='2. Inputs and results'!$B$21,'Solution  2, (hidden)'!B17,'Solution 1, (hidden)'!B17)</f>
        <v>12</v>
      </c>
      <c r="K16" s="26">
        <f>'Solution 1, (hidden)'!AD17</f>
        <v>0.55672178078645917</v>
      </c>
      <c r="L16" s="26">
        <f>'Solution  2, (hidden)'!AD17</f>
        <v>1.1261720952575398</v>
      </c>
      <c r="M16" s="26">
        <f>'Solution 1, (hidden)'!AB17</f>
        <v>0.72816891296488429</v>
      </c>
      <c r="N16" s="26">
        <f>'Solution  2, (hidden)'!AB17</f>
        <v>1.3906348207194998</v>
      </c>
    </row>
    <row r="17" spans="8:14" x14ac:dyDescent="0.25">
      <c r="H17">
        <f>'Solution 1, (hidden)'!B18</f>
        <v>13</v>
      </c>
      <c r="I17">
        <f>'Solution  2, (hidden)'!B18</f>
        <v>13</v>
      </c>
      <c r="J17">
        <f>IF('2. Inputs and results'!$C$21&gt;='2. Inputs and results'!$B$21,'Solution  2, (hidden)'!B18,'Solution 1, (hidden)'!B18)</f>
        <v>13</v>
      </c>
      <c r="K17" s="26">
        <f>'Solution 1, (hidden)'!AD18</f>
        <v>0.60936516780883798</v>
      </c>
      <c r="L17" s="26">
        <f>'Solution  2, (hidden)'!AD18</f>
        <v>1.2301720952575397</v>
      </c>
      <c r="M17" s="26">
        <f>'Solution 1, (hidden)'!AB18</f>
        <v>0.8154382999406603</v>
      </c>
      <c r="N17" s="26">
        <f>'Solution  2, (hidden)'!AB18</f>
        <v>1.5439229045614578</v>
      </c>
    </row>
    <row r="18" spans="8:14" x14ac:dyDescent="0.25">
      <c r="H18">
        <f>'Solution 1, (hidden)'!B19</f>
        <v>14</v>
      </c>
      <c r="I18">
        <f>'Solution  2, (hidden)'!B19</f>
        <v>14</v>
      </c>
      <c r="J18">
        <f>IF('2. Inputs and results'!$C$21&gt;='2. Inputs and results'!$B$21,'Solution  2, (hidden)'!B19,'Solution 1, (hidden)'!B19)</f>
        <v>14</v>
      </c>
      <c r="K18" s="26">
        <f>'Solution 1, (hidden)'!AD19</f>
        <v>0.66306142257166445</v>
      </c>
      <c r="L18" s="26">
        <f>'Solution  2, (hidden)'!AD19</f>
        <v>1.3341720952575395</v>
      </c>
      <c r="M18" s="26">
        <f>'Solution 1, (hidden)'!AB19</f>
        <v>0.90758719609391691</v>
      </c>
      <c r="N18" s="26">
        <f>'Solution  2, (hidden)'!AB19</f>
        <v>1.7021625720951448</v>
      </c>
    </row>
    <row r="19" spans="8:14" x14ac:dyDescent="0.25">
      <c r="H19">
        <f>'Solution 1, (hidden)'!B20</f>
        <v>15</v>
      </c>
      <c r="I19">
        <f>'Solution  2, (hidden)'!B20</f>
        <v>15</v>
      </c>
      <c r="J19">
        <f>IF('2. Inputs and results'!$C$21&gt;='2. Inputs and results'!$B$21,'Solution  2, (hidden)'!B20,'Solution 1, (hidden)'!B20)</f>
        <v>15</v>
      </c>
      <c r="K19" s="26">
        <f>'Solution 1, (hidden)'!AD20</f>
        <v>0.71783160242974731</v>
      </c>
      <c r="L19" s="26">
        <f>'Solution  2, (hidden)'!AD20</f>
        <v>1.4381720952575396</v>
      </c>
      <c r="M19" s="26">
        <f>'Solution 1, (hidden)'!AB20</f>
        <v>1.0048072152513423</v>
      </c>
      <c r="N19" s="26">
        <f>'Solution  2, (hidden)'!AB20</f>
        <v>1.8655023708313132</v>
      </c>
    </row>
    <row r="20" spans="8:14" x14ac:dyDescent="0.25">
      <c r="H20">
        <f>'Solution 1, (hidden)'!B21</f>
        <v>16</v>
      </c>
      <c r="I20">
        <f>'Solution  2, (hidden)'!B21</f>
        <v>16</v>
      </c>
      <c r="J20">
        <f>IF('2. Inputs and results'!$C$21&gt;='2. Inputs and results'!$B$21,'Solution  2, (hidden)'!B21,'Solution 1, (hidden)'!B21)</f>
        <v>16</v>
      </c>
      <c r="K20" s="26">
        <f>'Solution 1, (hidden)'!AD21</f>
        <v>0.77369718588499181</v>
      </c>
      <c r="L20" s="26">
        <f>'Solution  2, (hidden)'!AD21</f>
        <v>1.5421720952575397</v>
      </c>
      <c r="M20" s="26">
        <f>'Solution 1, (hidden)'!AB21</f>
        <v>1.1072004799204265</v>
      </c>
      <c r="N20" s="26">
        <f>'Solution  2, (hidden)'!AB21</f>
        <v>2.0340953047060371</v>
      </c>
    </row>
    <row r="21" spans="8:14" x14ac:dyDescent="0.25">
      <c r="H21">
        <f>'Solution 1, (hidden)'!B22</f>
        <v>17</v>
      </c>
      <c r="I21">
        <f>'Solution  2, (hidden)'!B22</f>
        <v>17</v>
      </c>
      <c r="J21">
        <f>IF('2. Inputs and results'!$C$21&gt;='2. Inputs and results'!$B$21,'Solution  2, (hidden)'!B22,'Solution 1, (hidden)'!B22)</f>
        <v>17</v>
      </c>
      <c r="K21" s="26">
        <f>'Solution 1, (hidden)'!AD22</f>
        <v>0.83068008100934132</v>
      </c>
      <c r="L21" s="26">
        <f>'Solution  2, (hidden)'!AD22</f>
        <v>1.6461720952575396</v>
      </c>
      <c r="M21" s="26">
        <f>'Solution 1, (hidden)'!AB22</f>
        <v>1.2130184837060538</v>
      </c>
      <c r="N21" s="26">
        <f>'Solution  2, (hidden)'!AB22</f>
        <v>2.208098967773473</v>
      </c>
    </row>
    <row r="22" spans="8:14" x14ac:dyDescent="0.25">
      <c r="H22">
        <f>'Solution 1, (hidden)'!B23</f>
        <v>18</v>
      </c>
      <c r="I22">
        <f>'Solution  2, (hidden)'!B23</f>
        <v>18</v>
      </c>
      <c r="J22">
        <f>IF('2. Inputs and results'!$C$21&gt;='2. Inputs and results'!$B$21,'Solution  2, (hidden)'!B23,'Solution 1, (hidden)'!B23)</f>
        <v>18</v>
      </c>
      <c r="K22" s="26">
        <f>'Solution 1, (hidden)'!AD23</f>
        <v>0.88880263403617776</v>
      </c>
      <c r="L22" s="26">
        <f>'Solution  2, (hidden)'!AD23</f>
        <v>1.7501720952575397</v>
      </c>
      <c r="M22" s="26">
        <f>'Solution 1, (hidden)'!AB23</f>
        <v>1.3223639687817206</v>
      </c>
      <c r="N22" s="26">
        <f>'Solution  2, (hidden)'!AB23</f>
        <v>2.3876756819094029</v>
      </c>
    </row>
    <row r="23" spans="8:14" x14ac:dyDescent="0.25">
      <c r="H23">
        <f>'Solution 1, (hidden)'!B24</f>
        <v>19</v>
      </c>
      <c r="I23">
        <f>'Solution  2, (hidden)'!B24</f>
        <v>19</v>
      </c>
      <c r="J23">
        <f>IF('2. Inputs and results'!$C$21&gt;='2. Inputs and results'!$B$21,'Solution  2, (hidden)'!B24,'Solution 1, (hidden)'!B24)</f>
        <v>19</v>
      </c>
      <c r="K23" s="26">
        <f>'Solution 1, (hidden)'!AD24</f>
        <v>0.94808763812355101</v>
      </c>
      <c r="L23" s="26">
        <f>'Solution  2, (hidden)'!AD24</f>
        <v>1.8541720952575396</v>
      </c>
      <c r="M23" s="26">
        <f>'Solution 1, (hidden)'!AB24</f>
        <v>1.4353427595861279</v>
      </c>
      <c r="N23" s="26">
        <f>'Solution  2, (hidden)'!AB24</f>
        <v>2.5729926386458812</v>
      </c>
    </row>
    <row r="24" spans="8:14" x14ac:dyDescent="0.25">
      <c r="H24">
        <f>'Solution 1, (hidden)'!B25</f>
        <v>20</v>
      </c>
      <c r="I24">
        <f>'Solution  2, (hidden)'!B25</f>
        <v>20</v>
      </c>
      <c r="J24">
        <f>IF('2. Inputs and results'!$C$21&gt;='2. Inputs and results'!$B$21,'Solution  2, (hidden)'!B25,'Solution 1, (hidden)'!B25)</f>
        <v>20</v>
      </c>
      <c r="K24" s="26">
        <f>'Solution 1, (hidden)'!AD25</f>
        <v>1.0085583422926716</v>
      </c>
      <c r="L24" s="26">
        <f>'Solution  2, (hidden)'!AD25</f>
        <v>1.9581720952575397</v>
      </c>
      <c r="M24" s="26">
        <f>'Solution 1, (hidden)'!AB25</f>
        <v>1.5520638552911381</v>
      </c>
      <c r="N24" s="26">
        <f>'Solution  2, (hidden)'!AB25</f>
        <v>2.7642220452609241</v>
      </c>
    </row>
    <row r="25" spans="8:14" x14ac:dyDescent="0.25">
      <c r="H25" t="str">
        <f>'Solution 1, (hidden)'!B26</f>
        <v xml:space="preserve"> </v>
      </c>
      <c r="I25" t="str">
        <f>'Solution  2, (hidden)'!B26</f>
        <v xml:space="preserve"> </v>
      </c>
      <c r="J25" t="str">
        <f>IF('2. Inputs and results'!$C$21&gt;='2. Inputs and results'!$B$21,'Solution  2, (hidden)'!B26,'Solution 1, (hidden)'!B26)</f>
        <v xml:space="preserve"> </v>
      </c>
      <c r="K25" s="26" t="e">
        <f>'Solution 1, (hidden)'!AD26</f>
        <v>#N/A</v>
      </c>
      <c r="L25" s="26" t="e">
        <f>'Solution  2, (hidden)'!AD26</f>
        <v>#N/A</v>
      </c>
      <c r="M25" s="26" t="e">
        <f>'Solution 1, (hidden)'!AB26</f>
        <v>#N/A</v>
      </c>
      <c r="N25" s="26" t="e">
        <f>'Solution  2, (hidden)'!AB26</f>
        <v>#N/A</v>
      </c>
    </row>
    <row r="26" spans="8:14" x14ac:dyDescent="0.25">
      <c r="H26" t="str">
        <f>'Solution 1, (hidden)'!B27</f>
        <v xml:space="preserve"> </v>
      </c>
      <c r="I26" t="str">
        <f>'Solution  2, (hidden)'!B27</f>
        <v xml:space="preserve"> </v>
      </c>
      <c r="J26" t="str">
        <f>IF('2. Inputs and results'!$C$21&gt;='2. Inputs and results'!$B$21,'Solution  2, (hidden)'!B27,'Solution 1, (hidden)'!B27)</f>
        <v xml:space="preserve"> </v>
      </c>
      <c r="K26" s="26" t="e">
        <f>'Solution 1, (hidden)'!AD27</f>
        <v>#N/A</v>
      </c>
      <c r="L26" s="26" t="e">
        <f>'Solution  2, (hidden)'!AD27</f>
        <v>#N/A</v>
      </c>
      <c r="M26" s="26" t="e">
        <f>'Solution 1, (hidden)'!AB27</f>
        <v>#N/A</v>
      </c>
      <c r="N26" s="26" t="e">
        <f>'Solution  2, (hidden)'!AB27</f>
        <v>#N/A</v>
      </c>
    </row>
    <row r="27" spans="8:14" x14ac:dyDescent="0.25">
      <c r="H27" t="str">
        <f>'Solution 1, (hidden)'!B28</f>
        <v xml:space="preserve"> </v>
      </c>
      <c r="I27" t="str">
        <f>'Solution  2, (hidden)'!B28</f>
        <v xml:space="preserve"> </v>
      </c>
      <c r="J27" t="str">
        <f>IF('2. Inputs and results'!$C$21&gt;='2. Inputs and results'!$B$21,'Solution  2, (hidden)'!B28,'Solution 1, (hidden)'!B28)</f>
        <v xml:space="preserve"> </v>
      </c>
      <c r="K27" s="26" t="e">
        <f>'Solution 1, (hidden)'!AD28</f>
        <v>#N/A</v>
      </c>
      <c r="L27" s="26" t="e">
        <f>'Solution  2, (hidden)'!AD28</f>
        <v>#N/A</v>
      </c>
      <c r="M27" s="26" t="e">
        <f>'Solution 1, (hidden)'!AB28</f>
        <v>#N/A</v>
      </c>
      <c r="N27" s="26" t="e">
        <f>'Solution  2, (hidden)'!AB28</f>
        <v>#N/A</v>
      </c>
    </row>
    <row r="28" spans="8:14" x14ac:dyDescent="0.25">
      <c r="H28" t="str">
        <f>'Solution 1, (hidden)'!B29</f>
        <v xml:space="preserve"> </v>
      </c>
      <c r="I28" t="str">
        <f>'Solution  2, (hidden)'!B29</f>
        <v xml:space="preserve"> </v>
      </c>
      <c r="J28" t="str">
        <f>IF('2. Inputs and results'!$C$21&gt;='2. Inputs and results'!$B$21,'Solution  2, (hidden)'!B29,'Solution 1, (hidden)'!B29)</f>
        <v xml:space="preserve"> </v>
      </c>
      <c r="K28" s="26" t="e">
        <f>'Solution 1, (hidden)'!AD29</f>
        <v>#N/A</v>
      </c>
      <c r="L28" s="26" t="e">
        <f>'Solution  2, (hidden)'!AD29</f>
        <v>#N/A</v>
      </c>
      <c r="M28" s="26" t="e">
        <f>'Solution 1, (hidden)'!AB29</f>
        <v>#N/A</v>
      </c>
      <c r="N28" s="26" t="e">
        <f>'Solution  2, (hidden)'!AB29</f>
        <v>#N/A</v>
      </c>
    </row>
    <row r="29" spans="8:14" x14ac:dyDescent="0.25">
      <c r="H29" t="str">
        <f>'Solution 1, (hidden)'!B30</f>
        <v xml:space="preserve"> </v>
      </c>
      <c r="I29" t="str">
        <f>'Solution  2, (hidden)'!B30</f>
        <v xml:space="preserve"> </v>
      </c>
      <c r="J29" t="str">
        <f>IF('2. Inputs and results'!$C$21&gt;='2. Inputs and results'!$B$21,'Solution  2, (hidden)'!B30,'Solution 1, (hidden)'!B30)</f>
        <v xml:space="preserve"> </v>
      </c>
      <c r="K29" s="26" t="e">
        <f>'Solution 1, (hidden)'!AD30</f>
        <v>#N/A</v>
      </c>
      <c r="L29" s="26" t="e">
        <f>'Solution  2, (hidden)'!AD30</f>
        <v>#N/A</v>
      </c>
      <c r="M29" s="26" t="e">
        <f>'Solution 1, (hidden)'!AB30</f>
        <v>#N/A</v>
      </c>
      <c r="N29" s="26" t="e">
        <f>'Solution  2, (hidden)'!AB30</f>
        <v>#N/A</v>
      </c>
    </row>
    <row r="30" spans="8:14" x14ac:dyDescent="0.25">
      <c r="H30" t="str">
        <f>'Solution 1, (hidden)'!B31</f>
        <v xml:space="preserve"> </v>
      </c>
      <c r="I30" t="str">
        <f>'Solution  2, (hidden)'!B31</f>
        <v xml:space="preserve"> </v>
      </c>
      <c r="J30" t="str">
        <f>IF('2. Inputs and results'!$C$21&gt;='2. Inputs and results'!$B$21,'Solution  2, (hidden)'!B31,'Solution 1, (hidden)'!B31)</f>
        <v xml:space="preserve"> </v>
      </c>
      <c r="K30" s="26" t="e">
        <f>'Solution 1, (hidden)'!AD31</f>
        <v>#N/A</v>
      </c>
      <c r="L30" s="26" t="e">
        <f>'Solution  2, (hidden)'!AD31</f>
        <v>#N/A</v>
      </c>
      <c r="M30" s="26" t="e">
        <f>'Solution 1, (hidden)'!AB31</f>
        <v>#N/A</v>
      </c>
      <c r="N30" s="26" t="e">
        <f>'Solution  2, (hidden)'!AB31</f>
        <v>#N/A</v>
      </c>
    </row>
    <row r="31" spans="8:14" x14ac:dyDescent="0.25">
      <c r="H31" t="str">
        <f>'Solution 1, (hidden)'!B32</f>
        <v xml:space="preserve"> </v>
      </c>
      <c r="I31" t="str">
        <f>'Solution  2, (hidden)'!B32</f>
        <v xml:space="preserve"> </v>
      </c>
      <c r="J31" t="str">
        <f>IF('2. Inputs and results'!$C$21&gt;='2. Inputs and results'!$B$21,'Solution  2, (hidden)'!B32,'Solution 1, (hidden)'!B32)</f>
        <v xml:space="preserve"> </v>
      </c>
      <c r="K31" s="26" t="e">
        <f>'Solution 1, (hidden)'!AD32</f>
        <v>#N/A</v>
      </c>
      <c r="L31" s="26" t="e">
        <f>'Solution  2, (hidden)'!AD32</f>
        <v>#N/A</v>
      </c>
      <c r="M31" s="26" t="e">
        <f>'Solution 1, (hidden)'!AB32</f>
        <v>#N/A</v>
      </c>
      <c r="N31" s="26" t="e">
        <f>'Solution  2, (hidden)'!AB32</f>
        <v>#N/A</v>
      </c>
    </row>
    <row r="32" spans="8:14" x14ac:dyDescent="0.25">
      <c r="H32" t="str">
        <f>'Solution 1, (hidden)'!B33</f>
        <v xml:space="preserve"> </v>
      </c>
      <c r="I32" t="str">
        <f>'Solution  2, (hidden)'!B33</f>
        <v xml:space="preserve"> </v>
      </c>
      <c r="J32" t="str">
        <f>IF('2. Inputs and results'!$C$21&gt;='2. Inputs and results'!$B$21,'Solution  2, (hidden)'!B33,'Solution 1, (hidden)'!B33)</f>
        <v xml:space="preserve"> </v>
      </c>
      <c r="K32" s="26" t="e">
        <f>'Solution 1, (hidden)'!AD33</f>
        <v>#N/A</v>
      </c>
      <c r="L32" s="26" t="e">
        <f>'Solution  2, (hidden)'!AD33</f>
        <v>#N/A</v>
      </c>
      <c r="M32" s="26" t="e">
        <f>'Solution 1, (hidden)'!AB33</f>
        <v>#N/A</v>
      </c>
      <c r="N32" s="26" t="e">
        <f>'Solution  2, (hidden)'!AB33</f>
        <v>#N/A</v>
      </c>
    </row>
    <row r="33" spans="8:14" x14ac:dyDescent="0.25">
      <c r="H33" t="str">
        <f>'Solution 1, (hidden)'!B34</f>
        <v xml:space="preserve"> </v>
      </c>
      <c r="I33" t="str">
        <f>'Solution  2, (hidden)'!B34</f>
        <v xml:space="preserve"> </v>
      </c>
      <c r="J33" t="str">
        <f>IF('2. Inputs and results'!$C$21&gt;='2. Inputs and results'!$B$21,'Solution  2, (hidden)'!B34,'Solution 1, (hidden)'!B34)</f>
        <v xml:space="preserve"> </v>
      </c>
      <c r="K33" s="26" t="e">
        <f>'Solution 1, (hidden)'!AD34</f>
        <v>#N/A</v>
      </c>
      <c r="L33" s="26" t="e">
        <f>'Solution  2, (hidden)'!AD34</f>
        <v>#N/A</v>
      </c>
      <c r="M33" s="26" t="e">
        <f>'Solution 1, (hidden)'!AB34</f>
        <v>#N/A</v>
      </c>
      <c r="N33" s="26" t="e">
        <f>'Solution  2, (hidden)'!AB34</f>
        <v>#N/A</v>
      </c>
    </row>
    <row r="34" spans="8:14" x14ac:dyDescent="0.25">
      <c r="H34" t="str">
        <f>'Solution 1, (hidden)'!B35</f>
        <v xml:space="preserve"> </v>
      </c>
      <c r="I34" t="str">
        <f>'Solution  2, (hidden)'!B35</f>
        <v xml:space="preserve"> </v>
      </c>
      <c r="J34" t="str">
        <f>IF('2. Inputs and results'!$C$21&gt;='2. Inputs and results'!$B$21,'Solution  2, (hidden)'!B35,'Solution 1, (hidden)'!B35)</f>
        <v xml:space="preserve"> </v>
      </c>
      <c r="K34" s="26" t="e">
        <f>'Solution 1, (hidden)'!AD35</f>
        <v>#N/A</v>
      </c>
      <c r="L34" s="26" t="e">
        <f>'Solution  2, (hidden)'!AD35</f>
        <v>#N/A</v>
      </c>
      <c r="M34" s="26" t="e">
        <f>'Solution 1, (hidden)'!AB35</f>
        <v>#N/A</v>
      </c>
      <c r="N34" s="26" t="e">
        <f>'Solution  2, (hidden)'!AB35</f>
        <v>#N/A</v>
      </c>
    </row>
    <row r="35" spans="8:14" x14ac:dyDescent="0.25">
      <c r="H35" t="str">
        <f>'Solution 1, (hidden)'!B36</f>
        <v xml:space="preserve"> </v>
      </c>
      <c r="I35" t="str">
        <f>'Solution  2, (hidden)'!B36</f>
        <v xml:space="preserve"> </v>
      </c>
      <c r="J35" t="str">
        <f>IF('2. Inputs and results'!$C$21&gt;='2. Inputs and results'!$B$21,'Solution  2, (hidden)'!B36,'Solution 1, (hidden)'!B36)</f>
        <v xml:space="preserve"> </v>
      </c>
      <c r="K35" s="26" t="e">
        <f>'Solution 1, (hidden)'!AD36</f>
        <v>#N/A</v>
      </c>
      <c r="L35" s="26" t="e">
        <f>'Solution  2, (hidden)'!AD36</f>
        <v>#N/A</v>
      </c>
      <c r="M35" s="26" t="e">
        <f>'Solution 1, (hidden)'!AB36</f>
        <v>#N/A</v>
      </c>
      <c r="N35" s="26" t="e">
        <f>'Solution  2, (hidden)'!AB36</f>
        <v>#N/A</v>
      </c>
    </row>
    <row r="36" spans="8:14" x14ac:dyDescent="0.25">
      <c r="H36" t="str">
        <f>'Solution 1, (hidden)'!B37</f>
        <v xml:space="preserve"> </v>
      </c>
      <c r="I36" t="str">
        <f>'Solution  2, (hidden)'!B37</f>
        <v xml:space="preserve"> </v>
      </c>
      <c r="J36" t="str">
        <f>IF('2. Inputs and results'!$C$21&gt;='2. Inputs and results'!$B$21,'Solution  2, (hidden)'!B37,'Solution 1, (hidden)'!B37)</f>
        <v xml:space="preserve"> </v>
      </c>
      <c r="K36" s="26" t="e">
        <f>'Solution 1, (hidden)'!AD37</f>
        <v>#N/A</v>
      </c>
      <c r="L36" s="26" t="e">
        <f>'Solution  2, (hidden)'!AD37</f>
        <v>#N/A</v>
      </c>
      <c r="M36" s="26" t="e">
        <f>'Solution 1, (hidden)'!AB37</f>
        <v>#N/A</v>
      </c>
      <c r="N36" s="26" t="e">
        <f>'Solution  2, (hidden)'!AB37</f>
        <v>#N/A</v>
      </c>
    </row>
    <row r="37" spans="8:14" x14ac:dyDescent="0.25">
      <c r="H37" t="str">
        <f>'Solution 1, (hidden)'!B38</f>
        <v xml:space="preserve"> </v>
      </c>
      <c r="I37" t="str">
        <f>'Solution  2, (hidden)'!B38</f>
        <v xml:space="preserve"> </v>
      </c>
      <c r="J37" t="str">
        <f>IF('2. Inputs and results'!$C$21&gt;='2. Inputs and results'!$B$21,'Solution  2, (hidden)'!B38,'Solution 1, (hidden)'!B38)</f>
        <v xml:space="preserve"> </v>
      </c>
      <c r="K37" s="26" t="e">
        <f>'Solution 1, (hidden)'!AD38</f>
        <v>#N/A</v>
      </c>
      <c r="L37" s="26" t="e">
        <f>'Solution  2, (hidden)'!AD38</f>
        <v>#N/A</v>
      </c>
      <c r="M37" s="26" t="e">
        <f>'Solution 1, (hidden)'!AB38</f>
        <v>#N/A</v>
      </c>
      <c r="N37" s="26" t="e">
        <f>'Solution  2, (hidden)'!AB38</f>
        <v>#N/A</v>
      </c>
    </row>
    <row r="38" spans="8:14" x14ac:dyDescent="0.25">
      <c r="H38" t="str">
        <f>'Solution 1, (hidden)'!B39</f>
        <v xml:space="preserve"> </v>
      </c>
      <c r="I38" t="str">
        <f>'Solution  2, (hidden)'!B39</f>
        <v xml:space="preserve"> </v>
      </c>
      <c r="J38" t="str">
        <f>IF('2. Inputs and results'!$C$21&gt;='2. Inputs and results'!$B$21,'Solution  2, (hidden)'!B39,'Solution 1, (hidden)'!B39)</f>
        <v xml:space="preserve"> </v>
      </c>
      <c r="K38" s="26" t="e">
        <f>'Solution 1, (hidden)'!AD39</f>
        <v>#N/A</v>
      </c>
      <c r="L38" s="26" t="e">
        <f>'Solution  2, (hidden)'!AD39</f>
        <v>#N/A</v>
      </c>
      <c r="M38" s="26" t="e">
        <f>'Solution 1, (hidden)'!AB39</f>
        <v>#N/A</v>
      </c>
      <c r="N38" s="26" t="e">
        <f>'Solution  2, (hidden)'!AB39</f>
        <v>#N/A</v>
      </c>
    </row>
    <row r="39" spans="8:14" x14ac:dyDescent="0.25">
      <c r="H39" t="str">
        <f>'Solution 1, (hidden)'!B40</f>
        <v xml:space="preserve"> </v>
      </c>
      <c r="I39" t="str">
        <f>'Solution  2, (hidden)'!B40</f>
        <v xml:space="preserve"> </v>
      </c>
      <c r="J39" t="str">
        <f>IF('2. Inputs and results'!$C$21&gt;='2. Inputs and results'!$B$21,'Solution  2, (hidden)'!B40,'Solution 1, (hidden)'!B40)</f>
        <v xml:space="preserve"> </v>
      </c>
      <c r="K39" s="26" t="e">
        <f>'Solution 1, (hidden)'!AD40</f>
        <v>#N/A</v>
      </c>
      <c r="L39" s="26" t="e">
        <f>'Solution  2, (hidden)'!AD40</f>
        <v>#N/A</v>
      </c>
      <c r="M39" s="26" t="e">
        <f>'Solution 1, (hidden)'!AB40</f>
        <v>#N/A</v>
      </c>
      <c r="N39" s="26" t="e">
        <f>'Solution  2, (hidden)'!AB40</f>
        <v>#N/A</v>
      </c>
    </row>
    <row r="40" spans="8:14" x14ac:dyDescent="0.25">
      <c r="H40" t="str">
        <f>'Solution 1, (hidden)'!B41</f>
        <v xml:space="preserve"> </v>
      </c>
      <c r="I40" t="str">
        <f>'Solution  2, (hidden)'!B41</f>
        <v xml:space="preserve"> </v>
      </c>
      <c r="J40" t="str">
        <f>IF('2. Inputs and results'!$C$21&gt;='2. Inputs and results'!$B$21,'Solution  2, (hidden)'!B41,'Solution 1, (hidden)'!B41)</f>
        <v xml:space="preserve"> </v>
      </c>
      <c r="K40" s="26" t="e">
        <f>'Solution 1, (hidden)'!AD41</f>
        <v>#N/A</v>
      </c>
      <c r="L40" s="26" t="e">
        <f>'Solution  2, (hidden)'!AD41</f>
        <v>#N/A</v>
      </c>
      <c r="M40" s="26" t="e">
        <f>'Solution 1, (hidden)'!AB41</f>
        <v>#N/A</v>
      </c>
      <c r="N40" s="26" t="e">
        <f>'Solution  2, (hidden)'!AB41</f>
        <v>#N/A</v>
      </c>
    </row>
    <row r="41" spans="8:14" x14ac:dyDescent="0.25">
      <c r="H41" t="str">
        <f>'Solution 1, (hidden)'!B42</f>
        <v xml:space="preserve"> </v>
      </c>
      <c r="I41" t="str">
        <f>'Solution  2, (hidden)'!B42</f>
        <v xml:space="preserve"> </v>
      </c>
      <c r="J41" t="str">
        <f>IF('2. Inputs and results'!$C$21&gt;='2. Inputs and results'!$B$21,'Solution  2, (hidden)'!B42,'Solution 1, (hidden)'!B42)</f>
        <v xml:space="preserve"> </v>
      </c>
      <c r="K41" s="26" t="e">
        <f>'Solution 1, (hidden)'!AD42</f>
        <v>#N/A</v>
      </c>
      <c r="L41" s="26" t="e">
        <f>'Solution  2, (hidden)'!AD42</f>
        <v>#N/A</v>
      </c>
      <c r="M41" s="26" t="e">
        <f>'Solution 1, (hidden)'!AB42</f>
        <v>#N/A</v>
      </c>
      <c r="N41" s="26" t="e">
        <f>'Solution  2, (hidden)'!AB42</f>
        <v>#N/A</v>
      </c>
    </row>
    <row r="42" spans="8:14" x14ac:dyDescent="0.25">
      <c r="H42" t="str">
        <f>'Solution 1, (hidden)'!B43</f>
        <v xml:space="preserve"> </v>
      </c>
      <c r="I42" t="str">
        <f>'Solution  2, (hidden)'!B43</f>
        <v xml:space="preserve"> </v>
      </c>
      <c r="J42" t="str">
        <f>IF('2. Inputs and results'!$C$21&gt;='2. Inputs and results'!$B$21,'Solution  2, (hidden)'!B43,'Solution 1, (hidden)'!B43)</f>
        <v xml:space="preserve"> </v>
      </c>
      <c r="K42" s="26" t="e">
        <f>'Solution 1, (hidden)'!AD43</f>
        <v>#N/A</v>
      </c>
      <c r="L42" s="26" t="e">
        <f>'Solution  2, (hidden)'!AD43</f>
        <v>#N/A</v>
      </c>
      <c r="M42" s="26" t="e">
        <f>'Solution 1, (hidden)'!AB43</f>
        <v>#N/A</v>
      </c>
      <c r="N42" s="26" t="e">
        <f>'Solution  2, (hidden)'!AB43</f>
        <v>#N/A</v>
      </c>
    </row>
    <row r="43" spans="8:14" x14ac:dyDescent="0.25">
      <c r="H43" t="str">
        <f>'Solution 1, (hidden)'!B44</f>
        <v xml:space="preserve"> </v>
      </c>
      <c r="I43" t="str">
        <f>'Solution  2, (hidden)'!B44</f>
        <v xml:space="preserve"> </v>
      </c>
      <c r="J43" t="str">
        <f>IF('2. Inputs and results'!$C$21&gt;='2. Inputs and results'!$B$21,'Solution  2, (hidden)'!B44,'Solution 1, (hidden)'!B44)</f>
        <v xml:space="preserve"> </v>
      </c>
      <c r="K43" s="26" t="e">
        <f>'Solution 1, (hidden)'!AD44</f>
        <v>#N/A</v>
      </c>
      <c r="L43" s="26" t="e">
        <f>'Solution  2, (hidden)'!AD44</f>
        <v>#N/A</v>
      </c>
      <c r="M43" s="26" t="e">
        <f>'Solution 1, (hidden)'!AB44</f>
        <v>#N/A</v>
      </c>
      <c r="N43" s="26" t="e">
        <f>'Solution  2, (hidden)'!AB44</f>
        <v>#N/A</v>
      </c>
    </row>
    <row r="44" spans="8:14" x14ac:dyDescent="0.25">
      <c r="H44" t="str">
        <f>'Solution 1, (hidden)'!B45</f>
        <v xml:space="preserve"> </v>
      </c>
      <c r="I44" t="str">
        <f>'Solution  2, (hidden)'!B45</f>
        <v xml:space="preserve"> </v>
      </c>
      <c r="J44" t="str">
        <f>IF('2. Inputs and results'!$C$21&gt;='2. Inputs and results'!$B$21,'Solution  2, (hidden)'!B45,'Solution 1, (hidden)'!B45)</f>
        <v xml:space="preserve"> </v>
      </c>
      <c r="K44" s="26" t="e">
        <f>'Solution 1, (hidden)'!AD45</f>
        <v>#N/A</v>
      </c>
      <c r="L44" s="26" t="e">
        <f>'Solution  2, (hidden)'!AD45</f>
        <v>#N/A</v>
      </c>
      <c r="M44" s="26" t="e">
        <f>'Solution 1, (hidden)'!AB45</f>
        <v>#N/A</v>
      </c>
      <c r="N44" s="26" t="e">
        <f>'Solution  2, (hidden)'!AB45</f>
        <v>#N/A</v>
      </c>
    </row>
    <row r="45" spans="8:14" x14ac:dyDescent="0.25">
      <c r="H45" t="str">
        <f>'Solution 1, (hidden)'!B46</f>
        <v xml:space="preserve"> </v>
      </c>
      <c r="I45" t="str">
        <f>'Solution  2, (hidden)'!B46</f>
        <v xml:space="preserve"> </v>
      </c>
      <c r="J45" t="str">
        <f>IF('2. Inputs and results'!$C$21&gt;='2. Inputs and results'!$B$21,'Solution  2, (hidden)'!B46,'Solution 1, (hidden)'!B46)</f>
        <v xml:space="preserve"> </v>
      </c>
      <c r="K45" s="26" t="e">
        <f>'Solution 1, (hidden)'!AD46</f>
        <v>#N/A</v>
      </c>
      <c r="L45" s="26" t="e">
        <f>'Solution  2, (hidden)'!AD46</f>
        <v>#N/A</v>
      </c>
      <c r="M45" s="26" t="e">
        <f>'Solution 1, (hidden)'!AB46</f>
        <v>#N/A</v>
      </c>
      <c r="N45" s="26" t="e">
        <f>'Solution  2, (hidden)'!AB46</f>
        <v>#N/A</v>
      </c>
    </row>
    <row r="46" spans="8:14" x14ac:dyDescent="0.25">
      <c r="H46" t="str">
        <f>'Solution 1, (hidden)'!B47</f>
        <v xml:space="preserve"> </v>
      </c>
      <c r="I46" t="str">
        <f>'Solution  2, (hidden)'!B47</f>
        <v xml:space="preserve"> </v>
      </c>
      <c r="J46" t="str">
        <f>IF('2. Inputs and results'!$C$21&gt;='2. Inputs and results'!$B$21,'Solution  2, (hidden)'!B47,'Solution 1, (hidden)'!B47)</f>
        <v xml:space="preserve"> </v>
      </c>
      <c r="K46" s="26" t="e">
        <f>'Solution 1, (hidden)'!AD47</f>
        <v>#N/A</v>
      </c>
      <c r="L46" s="26" t="e">
        <f>'Solution  2, (hidden)'!AD47</f>
        <v>#N/A</v>
      </c>
      <c r="M46" s="26" t="e">
        <f>'Solution 1, (hidden)'!AB47</f>
        <v>#N/A</v>
      </c>
      <c r="N46" s="26" t="e">
        <f>'Solution  2, (hidden)'!AB47</f>
        <v>#N/A</v>
      </c>
    </row>
    <row r="47" spans="8:14" x14ac:dyDescent="0.25">
      <c r="H47" t="str">
        <f>'Solution 1, (hidden)'!B48</f>
        <v xml:space="preserve"> </v>
      </c>
      <c r="I47" t="str">
        <f>'Solution  2, (hidden)'!B48</f>
        <v xml:space="preserve"> </v>
      </c>
      <c r="J47" t="str">
        <f>IF('2. Inputs and results'!$C$21&gt;='2. Inputs and results'!$B$21,'Solution  2, (hidden)'!B48,'Solution 1, (hidden)'!B48)</f>
        <v xml:space="preserve"> </v>
      </c>
      <c r="K47" s="26" t="e">
        <f>'Solution 1, (hidden)'!AD48</f>
        <v>#N/A</v>
      </c>
      <c r="L47" s="26" t="e">
        <f>'Solution  2, (hidden)'!AD48</f>
        <v>#N/A</v>
      </c>
      <c r="M47" s="26" t="e">
        <f>'Solution 1, (hidden)'!AB48</f>
        <v>#N/A</v>
      </c>
      <c r="N47" s="26" t="e">
        <f>'Solution  2, (hidden)'!AB48</f>
        <v>#N/A</v>
      </c>
    </row>
    <row r="48" spans="8:14" x14ac:dyDescent="0.25">
      <c r="H48" t="str">
        <f>'Solution 1, (hidden)'!B49</f>
        <v xml:space="preserve"> </v>
      </c>
      <c r="I48" t="str">
        <f>'Solution  2, (hidden)'!B49</f>
        <v xml:space="preserve"> </v>
      </c>
      <c r="J48" t="str">
        <f>IF('2. Inputs and results'!$C$21&gt;='2. Inputs and results'!$B$21,'Solution  2, (hidden)'!B49,'Solution 1, (hidden)'!B49)</f>
        <v xml:space="preserve"> </v>
      </c>
      <c r="K48" s="26" t="e">
        <f>'Solution 1, (hidden)'!AD49</f>
        <v>#N/A</v>
      </c>
      <c r="L48" s="26" t="e">
        <f>'Solution  2, (hidden)'!AD49</f>
        <v>#N/A</v>
      </c>
      <c r="M48" s="26" t="e">
        <f>'Solution 1, (hidden)'!AB49</f>
        <v>#N/A</v>
      </c>
      <c r="N48" s="26" t="e">
        <f>'Solution  2, (hidden)'!AB49</f>
        <v>#N/A</v>
      </c>
    </row>
    <row r="49" spans="8:14" x14ac:dyDescent="0.25">
      <c r="H49" t="str">
        <f>'Solution 1, (hidden)'!B50</f>
        <v xml:space="preserve"> </v>
      </c>
      <c r="I49" t="str">
        <f>'Solution  2, (hidden)'!B50</f>
        <v xml:space="preserve"> </v>
      </c>
      <c r="J49" t="str">
        <f>IF('2. Inputs and results'!$C$21&gt;='2. Inputs and results'!$B$21,'Solution  2, (hidden)'!B50,'Solution 1, (hidden)'!B50)</f>
        <v xml:space="preserve"> </v>
      </c>
      <c r="K49" s="26" t="e">
        <f>'Solution 1, (hidden)'!AD50</f>
        <v>#N/A</v>
      </c>
      <c r="L49" s="26" t="e">
        <f>'Solution  2, (hidden)'!AD50</f>
        <v>#N/A</v>
      </c>
      <c r="M49" s="26" t="e">
        <f>'Solution 1, (hidden)'!AB50</f>
        <v>#N/A</v>
      </c>
      <c r="N49" s="26" t="e">
        <f>'Solution  2, (hidden)'!AB50</f>
        <v>#N/A</v>
      </c>
    </row>
    <row r="50" spans="8:14" x14ac:dyDescent="0.25">
      <c r="H50" t="str">
        <f>'Solution 1, (hidden)'!B51</f>
        <v xml:space="preserve"> </v>
      </c>
      <c r="I50" t="str">
        <f>'Solution  2, (hidden)'!B51</f>
        <v xml:space="preserve"> </v>
      </c>
      <c r="J50" t="str">
        <f>IF('2. Inputs and results'!$C$21&gt;='2. Inputs and results'!$B$21,'Solution  2, (hidden)'!B51,'Solution 1, (hidden)'!B51)</f>
        <v xml:space="preserve"> </v>
      </c>
      <c r="K50" s="26" t="e">
        <f>'Solution 1, (hidden)'!AD51</f>
        <v>#N/A</v>
      </c>
      <c r="L50" s="26" t="e">
        <f>'Solution  2, (hidden)'!AD51</f>
        <v>#N/A</v>
      </c>
      <c r="M50" s="26" t="e">
        <f>'Solution 1, (hidden)'!AB51</f>
        <v>#N/A</v>
      </c>
      <c r="N50" s="26" t="e">
        <f>'Solution  2, (hidden)'!AB51</f>
        <v>#N/A</v>
      </c>
    </row>
    <row r="51" spans="8:14" x14ac:dyDescent="0.25">
      <c r="H51" t="str">
        <f>'Solution 1, (hidden)'!B52</f>
        <v xml:space="preserve"> </v>
      </c>
      <c r="I51" t="str">
        <f>'Solution  2, (hidden)'!B52</f>
        <v xml:space="preserve"> </v>
      </c>
      <c r="J51" t="str">
        <f>IF('2. Inputs and results'!$C$21&gt;='2. Inputs and results'!$B$21,'Solution  2, (hidden)'!B52,'Solution 1, (hidden)'!B52)</f>
        <v xml:space="preserve"> </v>
      </c>
      <c r="K51" s="26" t="e">
        <f>'Solution 1, (hidden)'!AD52</f>
        <v>#N/A</v>
      </c>
      <c r="L51" s="26" t="e">
        <f>'Solution  2, (hidden)'!AD52</f>
        <v>#N/A</v>
      </c>
      <c r="M51" s="26" t="e">
        <f>'Solution 1, (hidden)'!AB52</f>
        <v>#N/A</v>
      </c>
      <c r="N51" s="26" t="e">
        <f>'Solution  2, (hidden)'!AB52</f>
        <v>#N/A</v>
      </c>
    </row>
    <row r="52" spans="8:14" x14ac:dyDescent="0.25">
      <c r="H52" t="str">
        <f>'Solution 1, (hidden)'!B53</f>
        <v xml:space="preserve"> </v>
      </c>
      <c r="I52" t="str">
        <f>'Solution  2, (hidden)'!B53</f>
        <v xml:space="preserve"> </v>
      </c>
      <c r="J52" t="str">
        <f>IF('2. Inputs and results'!$C$21&gt;='2. Inputs and results'!$B$21,'Solution  2, (hidden)'!B53,'Solution 1, (hidden)'!B53)</f>
        <v xml:space="preserve"> </v>
      </c>
      <c r="K52" s="26" t="e">
        <f>'Solution 1, (hidden)'!AD53</f>
        <v>#N/A</v>
      </c>
      <c r="L52" s="26" t="e">
        <f>'Solution  2, (hidden)'!AD53</f>
        <v>#N/A</v>
      </c>
      <c r="M52" s="26" t="e">
        <f>'Solution 1, (hidden)'!AB53</f>
        <v>#N/A</v>
      </c>
      <c r="N52" s="26" t="e">
        <f>'Solution  2, (hidden)'!AB53</f>
        <v>#N/A</v>
      </c>
    </row>
    <row r="53" spans="8:14" x14ac:dyDescent="0.25">
      <c r="H53" t="str">
        <f>'Solution 1, (hidden)'!B54</f>
        <v xml:space="preserve"> </v>
      </c>
      <c r="I53" t="str">
        <f>'Solution  2, (hidden)'!B54</f>
        <v xml:space="preserve"> </v>
      </c>
      <c r="J53" t="str">
        <f>IF('2. Inputs and results'!$C$21&gt;='2. Inputs and results'!$B$21,'Solution  2, (hidden)'!B54,'Solution 1, (hidden)'!B54)</f>
        <v xml:space="preserve"> </v>
      </c>
      <c r="K53" s="26" t="e">
        <f>'Solution 1, (hidden)'!AD54</f>
        <v>#N/A</v>
      </c>
      <c r="L53" s="26" t="e">
        <f>'Solution  2, (hidden)'!AD54</f>
        <v>#N/A</v>
      </c>
      <c r="M53" s="26" t="e">
        <f>'Solution 1, (hidden)'!AB54</f>
        <v>#N/A</v>
      </c>
      <c r="N53" s="26" t="e">
        <f>'Solution  2, (hidden)'!AB54</f>
        <v>#N/A</v>
      </c>
    </row>
    <row r="54" spans="8:14" x14ac:dyDescent="0.25">
      <c r="H54" t="str">
        <f>'Solution 1, (hidden)'!B55</f>
        <v xml:space="preserve"> </v>
      </c>
      <c r="I54" t="str">
        <f>'Solution  2, (hidden)'!B55</f>
        <v xml:space="preserve"> </v>
      </c>
      <c r="J54" t="str">
        <f>IF('2. Inputs and results'!$C$21&gt;='2. Inputs and results'!$B$21,'Solution  2, (hidden)'!B55,'Solution 1, (hidden)'!B55)</f>
        <v xml:space="preserve"> </v>
      </c>
      <c r="K54" s="26" t="e">
        <f>'Solution 1, (hidden)'!AD55</f>
        <v>#N/A</v>
      </c>
      <c r="L54" s="26" t="e">
        <f>'Solution  2, (hidden)'!AD55</f>
        <v>#N/A</v>
      </c>
      <c r="M54" s="26" t="e">
        <f>'Solution 1, (hidden)'!AB55</f>
        <v>#N/A</v>
      </c>
      <c r="N54" s="26" t="e">
        <f>'Solution  2, (hidden)'!AB55</f>
        <v>#N/A</v>
      </c>
    </row>
  </sheetData>
  <conditionalFormatting sqref="N4">
    <cfRule type="containsErrors" dxfId="31" priority="4">
      <formula>ISERROR(N4)</formula>
    </cfRule>
  </conditionalFormatting>
  <conditionalFormatting sqref="J2:N54">
    <cfRule type="containsErrors" dxfId="30" priority="3">
      <formula>ISERROR(J2)</formula>
    </cfRule>
  </conditionalFormatting>
  <conditionalFormatting sqref="I4:I54">
    <cfRule type="containsErrors" dxfId="29" priority="2">
      <formula>ISERROR(I4)</formula>
    </cfRule>
  </conditionalFormatting>
  <conditionalFormatting sqref="I4:I54">
    <cfRule type="containsErrors" dxfId="28" priority="1">
      <formula>ISERROR(I4)</formula>
    </cfRule>
  </conditionalFormatting>
  <pageMargins left="0.7" right="0.7" top="0.75" bottom="0.75" header="0.3" footer="0.3"/>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3">
    <pageSetUpPr fitToPage="1"/>
  </sheetPr>
  <dimension ref="A1:M71"/>
  <sheetViews>
    <sheetView topLeftCell="A64" zoomScaleNormal="100" workbookViewId="0">
      <selection activeCell="D1" sqref="D1"/>
    </sheetView>
  </sheetViews>
  <sheetFormatPr defaultRowHeight="15" x14ac:dyDescent="0.25"/>
  <cols>
    <col min="1" max="1" width="37.28515625" customWidth="1"/>
    <col min="2" max="2" width="37.140625" customWidth="1"/>
    <col min="3" max="3" width="13.85546875" customWidth="1"/>
    <col min="4" max="4" width="13.140625" customWidth="1"/>
    <col min="5" max="5" width="7.28515625" customWidth="1"/>
    <col min="6" max="6" width="36.140625" customWidth="1"/>
    <col min="7" max="7" width="32" customWidth="1"/>
    <col min="8" max="8" width="34.5703125" customWidth="1"/>
    <col min="9" max="9" width="32" customWidth="1"/>
    <col min="10" max="10" width="36.28515625" customWidth="1"/>
    <col min="11" max="11" width="42.85546875" customWidth="1"/>
    <col min="12" max="13" width="40.7109375" customWidth="1"/>
  </cols>
  <sheetData>
    <row r="1" spans="1:13" s="39" customFormat="1" ht="78.75" customHeight="1" thickBot="1" x14ac:dyDescent="0.45">
      <c r="D1" s="306" t="s">
        <v>306</v>
      </c>
    </row>
    <row r="2" spans="1:13" s="39" customFormat="1" ht="15.75" thickBot="1" x14ac:dyDescent="0.3">
      <c r="A2" s="279" t="s">
        <v>150</v>
      </c>
      <c r="B2" s="61" t="str">
        <f>'2. Inputs and results'!B5</f>
        <v>Building</v>
      </c>
    </row>
    <row r="3" spans="1:13" s="39" customFormat="1" ht="15.75" thickBot="1" x14ac:dyDescent="0.3">
      <c r="A3" s="282"/>
      <c r="B3" s="284"/>
    </row>
    <row r="4" spans="1:13" s="39" customFormat="1" ht="15.75" thickBot="1" x14ac:dyDescent="0.3">
      <c r="A4" s="282" t="s">
        <v>139</v>
      </c>
      <c r="B4" s="283" t="str">
        <f>'2. Inputs and results'!B6</f>
        <v>Housing/ Residential building</v>
      </c>
    </row>
    <row r="5" spans="1:13" s="39" customFormat="1" ht="15.75" thickBot="1" x14ac:dyDescent="0.3">
      <c r="A5" s="282"/>
      <c r="B5" s="284"/>
    </row>
    <row r="6" spans="1:13" s="39" customFormat="1" ht="15.75" thickBot="1" x14ac:dyDescent="0.3">
      <c r="A6" s="282" t="s">
        <v>54</v>
      </c>
      <c r="B6" s="283" t="str">
        <f>'2. Inputs and results'!B8</f>
        <v>District heating</v>
      </c>
    </row>
    <row r="7" spans="1:13" s="39" customFormat="1" ht="15.75" thickBot="1" x14ac:dyDescent="0.3">
      <c r="A7" s="282" t="s">
        <v>93</v>
      </c>
      <c r="B7" s="283" t="str">
        <f>'2. Inputs and results'!B9</f>
        <v>Other</v>
      </c>
    </row>
    <row r="8" spans="1:13" s="39" customFormat="1" ht="15.75" thickBot="1" x14ac:dyDescent="0.3">
      <c r="A8" s="281" t="s">
        <v>104</v>
      </c>
      <c r="B8" s="63" t="str">
        <f>'2. Inputs and results'!B10</f>
        <v>None</v>
      </c>
    </row>
    <row r="9" spans="1:13" x14ac:dyDescent="0.25">
      <c r="C9" s="285"/>
      <c r="D9" s="285"/>
      <c r="E9" s="285"/>
      <c r="F9" s="285" t="s">
        <v>122</v>
      </c>
      <c r="G9" s="285" t="s">
        <v>123</v>
      </c>
      <c r="H9" s="285" t="s">
        <v>120</v>
      </c>
      <c r="I9" s="285" t="s">
        <v>121</v>
      </c>
      <c r="J9" s="285" t="s">
        <v>215</v>
      </c>
      <c r="K9" s="285" t="s">
        <v>216</v>
      </c>
      <c r="L9" s="285" t="s">
        <v>215</v>
      </c>
      <c r="M9" s="285" t="s">
        <v>216</v>
      </c>
    </row>
    <row r="10" spans="1:13" x14ac:dyDescent="0.25">
      <c r="C10" s="285"/>
      <c r="D10" s="285"/>
      <c r="E10" s="285"/>
      <c r="F10" s="286" t="s">
        <v>151</v>
      </c>
      <c r="G10" s="286" t="s">
        <v>151</v>
      </c>
      <c r="H10" s="286" t="s">
        <v>214</v>
      </c>
      <c r="I10" s="286" t="s">
        <v>214</v>
      </c>
      <c r="J10" s="286" t="s">
        <v>225</v>
      </c>
      <c r="K10" s="286" t="s">
        <v>225</v>
      </c>
      <c r="L10" s="286" t="s">
        <v>226</v>
      </c>
      <c r="M10" s="286" t="s">
        <v>226</v>
      </c>
    </row>
    <row r="11" spans="1:13" x14ac:dyDescent="0.25">
      <c r="C11" s="285"/>
      <c r="D11" s="285"/>
      <c r="E11" s="285"/>
      <c r="F11" s="286" t="s">
        <v>70</v>
      </c>
      <c r="G11" s="286" t="s">
        <v>70</v>
      </c>
      <c r="H11" s="286"/>
      <c r="I11" s="286"/>
      <c r="J11" s="285"/>
      <c r="K11" s="285"/>
      <c r="L11" s="285"/>
      <c r="M11" s="285"/>
    </row>
    <row r="12" spans="1:13" x14ac:dyDescent="0.25">
      <c r="C12" s="286" t="s">
        <v>118</v>
      </c>
      <c r="D12" s="286" t="s">
        <v>119</v>
      </c>
      <c r="E12" s="286" t="s">
        <v>49</v>
      </c>
      <c r="F12" s="285"/>
      <c r="G12" s="285"/>
      <c r="H12" s="285"/>
      <c r="I12" s="285"/>
      <c r="J12" s="286"/>
      <c r="K12" s="286"/>
      <c r="L12" s="285"/>
      <c r="M12" s="285"/>
    </row>
    <row r="13" spans="1:13" x14ac:dyDescent="0.25">
      <c r="C13" s="285"/>
      <c r="D13" s="285"/>
      <c r="E13" s="285"/>
      <c r="F13" s="286" t="str">
        <f>'2. Inputs and results'!B19</f>
        <v xml:space="preserve">Ventilation system with heat recovery </v>
      </c>
      <c r="G13" s="286" t="str">
        <f>'2. Inputs and results'!C19</f>
        <v>Geothermal heat pump system</v>
      </c>
      <c r="H13" s="286" t="str">
        <f>'2. Inputs and results'!B19</f>
        <v xml:space="preserve">Ventilation system with heat recovery </v>
      </c>
      <c r="I13" s="286" t="str">
        <f>'2. Inputs and results'!C19</f>
        <v>Geothermal heat pump system</v>
      </c>
      <c r="J13" s="286" t="str">
        <f>'2. Inputs and results'!B19</f>
        <v xml:space="preserve">Ventilation system with heat recovery </v>
      </c>
      <c r="K13" s="286" t="str">
        <f>'2. Inputs and results'!C19</f>
        <v>Geothermal heat pump system</v>
      </c>
      <c r="L13" s="286" t="str">
        <f>'2. Inputs and results'!B19</f>
        <v xml:space="preserve">Ventilation system with heat recovery </v>
      </c>
      <c r="M13" s="286" t="str">
        <f>'2. Inputs and results'!C19</f>
        <v>Geothermal heat pump system</v>
      </c>
    </row>
    <row r="14" spans="1:13" x14ac:dyDescent="0.25">
      <c r="C14" s="285">
        <f>'Solution 1, (hidden)'!B5</f>
        <v>0</v>
      </c>
      <c r="D14" s="285">
        <f>'Solution  2, (hidden)'!B5</f>
        <v>0</v>
      </c>
      <c r="E14" s="285">
        <f>IF('2. Inputs and results'!$C$21&gt;='2. Inputs and results'!$B$21,'Solution  2, (hidden)'!B5,'Solution 1, (hidden)'!B5)</f>
        <v>0</v>
      </c>
      <c r="F14" s="287">
        <f>'Solution 1, (hidden)'!L5</f>
        <v>156400</v>
      </c>
      <c r="G14" s="287">
        <f>'Solution  2, (hidden)'!L5</f>
        <v>212500</v>
      </c>
      <c r="H14" s="287">
        <f>'Solution 1, (hidden)'!D5</f>
        <v>0</v>
      </c>
      <c r="I14" s="287">
        <f>'Solution  2, (hidden)'!D5</f>
        <v>0</v>
      </c>
      <c r="J14" s="287">
        <f>'Solution 1, (hidden)'!K5</f>
        <v>0</v>
      </c>
      <c r="K14" s="287">
        <f>'Solution  2, (hidden)'!K5</f>
        <v>0</v>
      </c>
      <c r="L14" s="287">
        <f>'Solution 1, (hidden) (2)'!K5</f>
        <v>0</v>
      </c>
      <c r="M14" s="287">
        <f>'Solution  2, (hidden) (2)'!K5</f>
        <v>0</v>
      </c>
    </row>
    <row r="15" spans="1:13" x14ac:dyDescent="0.25">
      <c r="C15" s="285">
        <f>'Solution 1, (hidden)'!B6</f>
        <v>1</v>
      </c>
      <c r="D15" s="285">
        <f>'Solution  2, (hidden)'!B6</f>
        <v>1</v>
      </c>
      <c r="E15" s="285">
        <f>IF('2. Inputs and results'!$C$21&gt;='2. Inputs and results'!$B$21,'Solution  2, (hidden)'!B6,'Solution 1, (hidden)'!B6)</f>
        <v>1</v>
      </c>
      <c r="F15" s="289">
        <f>'Solution 1, (hidden)'!L6</f>
        <v>156400</v>
      </c>
      <c r="G15" s="289">
        <f>'Solution  2, (hidden)'!L6</f>
        <v>212500</v>
      </c>
      <c r="H15" s="287">
        <f>'Solution 1, (hidden)'!D6</f>
        <v>11460</v>
      </c>
      <c r="I15" s="287">
        <f>'Solution  2, (hidden)'!D6</f>
        <v>24600</v>
      </c>
      <c r="J15" s="287">
        <f>'Solution 1, (hidden)'!K6</f>
        <v>11460</v>
      </c>
      <c r="K15" s="287">
        <f>'Solution  2, (hidden)'!K6</f>
        <v>24600</v>
      </c>
      <c r="L15" s="287">
        <f>'Solution 1, (hidden) (2)'!K6</f>
        <v>11460</v>
      </c>
      <c r="M15" s="287">
        <f>'Solution  2, (hidden) (2)'!K6</f>
        <v>24600</v>
      </c>
    </row>
    <row r="16" spans="1:13" x14ac:dyDescent="0.25">
      <c r="C16" s="285">
        <f>'Solution 1, (hidden)'!B7</f>
        <v>2</v>
      </c>
      <c r="D16" s="285">
        <f>'Solution  2, (hidden)'!B7</f>
        <v>2</v>
      </c>
      <c r="E16" s="285">
        <f>IF('2. Inputs and results'!$C$21&gt;='2. Inputs and results'!$B$21,'Solution  2, (hidden)'!B7,'Solution 1, (hidden)'!B7)</f>
        <v>2</v>
      </c>
      <c r="F16" s="289">
        <f>'Solution 1, (hidden)'!L7</f>
        <v>156400</v>
      </c>
      <c r="G16" s="289">
        <f>'Solution  2, (hidden)'!L7</f>
        <v>212500</v>
      </c>
      <c r="H16" s="287">
        <f>'Solution 1, (hidden)'!D7</f>
        <v>22920</v>
      </c>
      <c r="I16" s="287">
        <f>'Solution  2, (hidden)'!D7</f>
        <v>49200</v>
      </c>
      <c r="J16" s="287">
        <f>'Solution 1, (hidden)'!K7</f>
        <v>23263.8</v>
      </c>
      <c r="K16" s="287">
        <f>'Solution  2, (hidden)'!K7</f>
        <v>49938</v>
      </c>
      <c r="L16" s="287">
        <f>'Solution 1, (hidden) (2)'!K7</f>
        <v>23607.599999999999</v>
      </c>
      <c r="M16" s="287">
        <f>'Solution  2, (hidden) (2)'!K7</f>
        <v>50676</v>
      </c>
    </row>
    <row r="17" spans="3:13" x14ac:dyDescent="0.25">
      <c r="C17" s="285">
        <f>'Solution 1, (hidden)'!B8</f>
        <v>3</v>
      </c>
      <c r="D17" s="285">
        <f>'Solution  2, (hidden)'!B8</f>
        <v>3</v>
      </c>
      <c r="E17" s="285">
        <f>IF('2. Inputs and results'!$C$21&gt;='2. Inputs and results'!$B$21,'Solution  2, (hidden)'!B8,'Solution 1, (hidden)'!B8)</f>
        <v>3</v>
      </c>
      <c r="F17" s="289">
        <f>'Solution 1, (hidden)'!L8</f>
        <v>156400</v>
      </c>
      <c r="G17" s="289">
        <f>'Solution  2, (hidden)'!L8</f>
        <v>212500</v>
      </c>
      <c r="H17" s="287">
        <f>'Solution 1, (hidden)'!D8</f>
        <v>34380</v>
      </c>
      <c r="I17" s="287">
        <f>'Solution  2, (hidden)'!D8</f>
        <v>73800</v>
      </c>
      <c r="J17" s="287">
        <f>'Solution 1, (hidden)'!K8</f>
        <v>35421.714</v>
      </c>
      <c r="K17" s="287">
        <f>'Solution  2, (hidden)'!K8</f>
        <v>76036.14</v>
      </c>
      <c r="L17" s="287">
        <f>'Solution 1, (hidden) (2)'!K8</f>
        <v>36484.055999999997</v>
      </c>
      <c r="M17" s="287">
        <f>'Solution  2, (hidden) (2)'!K8</f>
        <v>78316.56</v>
      </c>
    </row>
    <row r="18" spans="3:13" x14ac:dyDescent="0.25">
      <c r="C18" s="285">
        <f>'Solution 1, (hidden)'!B9</f>
        <v>4</v>
      </c>
      <c r="D18" s="285">
        <f>'Solution  2, (hidden)'!B9</f>
        <v>4</v>
      </c>
      <c r="E18" s="285">
        <f>IF('2. Inputs and results'!$C$21&gt;='2. Inputs and results'!$B$21,'Solution  2, (hidden)'!B9,'Solution 1, (hidden)'!B9)</f>
        <v>4</v>
      </c>
      <c r="F18" s="289">
        <f>'Solution 1, (hidden)'!L9</f>
        <v>156400</v>
      </c>
      <c r="G18" s="289">
        <f>'Solution  2, (hidden)'!L9</f>
        <v>212500</v>
      </c>
      <c r="H18" s="287">
        <f>'Solution 1, (hidden)'!D9</f>
        <v>45840</v>
      </c>
      <c r="I18" s="287">
        <f>'Solution  2, (hidden)'!D9</f>
        <v>98400</v>
      </c>
      <c r="J18" s="287">
        <f>'Solution 1, (hidden)'!K9</f>
        <v>47944.365420000002</v>
      </c>
      <c r="K18" s="287">
        <f>'Solution  2, (hidden)'!K9</f>
        <v>102917.2242</v>
      </c>
      <c r="L18" s="287">
        <f>'Solution 1, (hidden) (2)'!K9</f>
        <v>50133.09936</v>
      </c>
      <c r="M18" s="287">
        <f>'Solution  2, (hidden) (2)'!K9</f>
        <v>107615.5536</v>
      </c>
    </row>
    <row r="19" spans="3:13" x14ac:dyDescent="0.25">
      <c r="C19" s="285">
        <f>'Solution 1, (hidden)'!B10</f>
        <v>5</v>
      </c>
      <c r="D19" s="285">
        <f>'Solution  2, (hidden)'!B10</f>
        <v>5</v>
      </c>
      <c r="E19" s="285">
        <f>IF('2. Inputs and results'!$C$21&gt;='2. Inputs and results'!$B$21,'Solution  2, (hidden)'!B10,'Solution 1, (hidden)'!B10)</f>
        <v>5</v>
      </c>
      <c r="F19" s="289">
        <f>'Solution 1, (hidden)'!L10</f>
        <v>156400</v>
      </c>
      <c r="G19" s="289">
        <f>'Solution  2, (hidden)'!L10</f>
        <v>212500</v>
      </c>
      <c r="H19" s="287">
        <f>'Solution 1, (hidden)'!D10</f>
        <v>57300</v>
      </c>
      <c r="I19" s="287">
        <f>'Solution  2, (hidden)'!D10</f>
        <v>123000</v>
      </c>
      <c r="J19" s="287">
        <f>'Solution 1, (hidden)'!K10</f>
        <v>60842.696382600006</v>
      </c>
      <c r="K19" s="287">
        <f>'Solution  2, (hidden)'!K10</f>
        <v>130604.740926</v>
      </c>
      <c r="L19" s="287">
        <f>'Solution 1, (hidden) (2)'!K10</f>
        <v>64601.085321600003</v>
      </c>
      <c r="M19" s="287">
        <f>'Solution  2, (hidden) (2)'!K10</f>
        <v>138672.48681599999</v>
      </c>
    </row>
    <row r="20" spans="3:13" x14ac:dyDescent="0.25">
      <c r="C20" s="285">
        <f>'Solution 1, (hidden)'!B11</f>
        <v>6</v>
      </c>
      <c r="D20" s="285">
        <f>'Solution  2, (hidden)'!B11</f>
        <v>6</v>
      </c>
      <c r="E20" s="285">
        <f>IF('2. Inputs and results'!$C$21&gt;='2. Inputs and results'!$B$21,'Solution  2, (hidden)'!B11,'Solution 1, (hidden)'!B11)</f>
        <v>6</v>
      </c>
      <c r="F20" s="289">
        <f>'Solution 1, (hidden)'!L11</f>
        <v>156400</v>
      </c>
      <c r="G20" s="289">
        <f>'Solution  2, (hidden)'!L11</f>
        <v>212500</v>
      </c>
      <c r="H20" s="287">
        <f>'Solution 1, (hidden)'!D11</f>
        <v>68760</v>
      </c>
      <c r="I20" s="287">
        <f>'Solution  2, (hidden)'!D11</f>
        <v>147600</v>
      </c>
      <c r="J20" s="287">
        <f>'Solution 1, (hidden)'!K11</f>
        <v>74127.977274078003</v>
      </c>
      <c r="K20" s="287">
        <f>'Solution  2, (hidden)'!K11</f>
        <v>159122.88315378001</v>
      </c>
      <c r="L20" s="287">
        <f>'Solution 1, (hidden) (2)'!K11</f>
        <v>79937.150440896003</v>
      </c>
      <c r="M20" s="287">
        <f>'Solution  2, (hidden) (2)'!K11</f>
        <v>171592.83602495998</v>
      </c>
    </row>
    <row r="21" spans="3:13" x14ac:dyDescent="0.25">
      <c r="C21" s="285">
        <f>'Solution 1, (hidden)'!B12</f>
        <v>7</v>
      </c>
      <c r="D21" s="285">
        <f>'Solution  2, (hidden)'!B12</f>
        <v>7</v>
      </c>
      <c r="E21" s="285">
        <f>IF('2. Inputs and results'!$C$21&gt;='2. Inputs and results'!$B$21,'Solution  2, (hidden)'!B12,'Solution 1, (hidden)'!B12)</f>
        <v>7</v>
      </c>
      <c r="F21" s="289">
        <f>'Solution 1, (hidden)'!L12</f>
        <v>156400</v>
      </c>
      <c r="G21" s="289">
        <f>'Solution  2, (hidden)'!L12</f>
        <v>212500</v>
      </c>
      <c r="H21" s="287">
        <f>'Solution 1, (hidden)'!D12</f>
        <v>80220</v>
      </c>
      <c r="I21" s="287">
        <f>'Solution  2, (hidden)'!D12</f>
        <v>172200</v>
      </c>
      <c r="J21" s="287">
        <f>'Solution 1, (hidden)'!K12</f>
        <v>87811.81659230034</v>
      </c>
      <c r="K21" s="287">
        <f>'Solution  2, (hidden)'!K12</f>
        <v>188496.56964839343</v>
      </c>
      <c r="L21" s="287">
        <f>'Solution 1, (hidden) (2)'!K12</f>
        <v>96193.379467349761</v>
      </c>
      <c r="M21" s="287">
        <f>'Solution  2, (hidden) (2)'!K12</f>
        <v>206488.40618645761</v>
      </c>
    </row>
    <row r="22" spans="3:13" x14ac:dyDescent="0.25">
      <c r="C22" s="285">
        <f>'Solution 1, (hidden)'!B13</f>
        <v>8</v>
      </c>
      <c r="D22" s="285">
        <f>'Solution  2, (hidden)'!B13</f>
        <v>8</v>
      </c>
      <c r="E22" s="285">
        <f>IF('2. Inputs and results'!$C$21&gt;='2. Inputs and results'!$B$21,'Solution  2, (hidden)'!B13,'Solution 1, (hidden)'!B13)</f>
        <v>8</v>
      </c>
      <c r="F22" s="289">
        <f>'Solution 1, (hidden)'!L13</f>
        <v>156400</v>
      </c>
      <c r="G22" s="289">
        <f>'Solution  2, (hidden)'!L13</f>
        <v>212500</v>
      </c>
      <c r="H22" s="287">
        <f>'Solution 1, (hidden)'!D13</f>
        <v>91680</v>
      </c>
      <c r="I22" s="287">
        <f>'Solution  2, (hidden)'!D13</f>
        <v>196800</v>
      </c>
      <c r="J22" s="287">
        <f>'Solution 1, (hidden)'!K13</f>
        <v>101906.17109006936</v>
      </c>
      <c r="K22" s="287">
        <f>'Solution  2, (hidden)'!K13</f>
        <v>218751.46673784524</v>
      </c>
      <c r="L22" s="287">
        <f>'Solution 1, (hidden) (2)'!K13</f>
        <v>113424.98223539075</v>
      </c>
      <c r="M22" s="287">
        <f>'Solution  2, (hidden) (2)'!K13</f>
        <v>243477.71055764507</v>
      </c>
    </row>
    <row r="23" spans="3:13" x14ac:dyDescent="0.25">
      <c r="C23" s="285">
        <f>'Solution 1, (hidden)'!B14</f>
        <v>9</v>
      </c>
      <c r="D23" s="285">
        <f>'Solution  2, (hidden)'!B14</f>
        <v>9</v>
      </c>
      <c r="E23" s="285">
        <f>IF('2. Inputs and results'!$C$21&gt;='2. Inputs and results'!$B$21,'Solution  2, (hidden)'!B14,'Solution 1, (hidden)'!B14)</f>
        <v>9</v>
      </c>
      <c r="F23" s="289">
        <f>'Solution 1, (hidden)'!L14</f>
        <v>156400</v>
      </c>
      <c r="G23" s="289">
        <f>'Solution  2, (hidden)'!L14</f>
        <v>212500</v>
      </c>
      <c r="H23" s="287">
        <f>'Solution 1, (hidden)'!D14</f>
        <v>103140</v>
      </c>
      <c r="I23" s="287">
        <f>'Solution  2, (hidden)'!D14</f>
        <v>221400</v>
      </c>
      <c r="J23" s="287">
        <f>'Solution 1, (hidden)'!K14</f>
        <v>116423.35622277144</v>
      </c>
      <c r="K23" s="287">
        <f>'Solution  2, (hidden)'!K14</f>
        <v>249914.01073998061</v>
      </c>
      <c r="L23" s="287">
        <f>'Solution 1, (hidden) (2)'!K14</f>
        <v>131690.48116951418</v>
      </c>
      <c r="M23" s="287">
        <f>'Solution  2, (hidden) (2)'!K14</f>
        <v>282686.3731911038</v>
      </c>
    </row>
    <row r="24" spans="3:13" x14ac:dyDescent="0.25">
      <c r="C24" s="285">
        <f>'Solution 1, (hidden)'!B15</f>
        <v>10</v>
      </c>
      <c r="D24" s="285">
        <f>'Solution  2, (hidden)'!B15</f>
        <v>10</v>
      </c>
      <c r="E24" s="285">
        <f>IF('2. Inputs and results'!$C$21&gt;='2. Inputs and results'!$B$21,'Solution  2, (hidden)'!B15,'Solution 1, (hidden)'!B15)</f>
        <v>10</v>
      </c>
      <c r="F24" s="289">
        <f>'Solution 1, (hidden)'!L15</f>
        <v>156400</v>
      </c>
      <c r="G24" s="289">
        <f>'Solution  2, (hidden)'!L15</f>
        <v>212500</v>
      </c>
      <c r="H24" s="287">
        <f>'Solution 1, (hidden)'!D15</f>
        <v>114600</v>
      </c>
      <c r="I24" s="287">
        <f>'Solution  2, (hidden)'!D15</f>
        <v>246000</v>
      </c>
      <c r="J24" s="287">
        <f>'Solution 1, (hidden)'!K15</f>
        <v>131376.05690945458</v>
      </c>
      <c r="K24" s="287">
        <f>'Solution  2, (hidden)'!K15</f>
        <v>282011.43106218003</v>
      </c>
      <c r="L24" s="287">
        <f>'Solution 1, (hidden) (2)'!K15</f>
        <v>151051.91003968503</v>
      </c>
      <c r="M24" s="287">
        <f>'Solution  2, (hidden) (2)'!K15</f>
        <v>324247.55558257003</v>
      </c>
    </row>
    <row r="25" spans="3:13" x14ac:dyDescent="0.25">
      <c r="C25" s="285">
        <f>'Solution 1, (hidden)'!B16</f>
        <v>11</v>
      </c>
      <c r="D25" s="285">
        <f>'Solution  2, (hidden)'!B16</f>
        <v>11</v>
      </c>
      <c r="E25" s="285">
        <f>IF('2. Inputs and results'!$C$21&gt;='2. Inputs and results'!$B$21,'Solution  2, (hidden)'!B16,'Solution 1, (hidden)'!B16)</f>
        <v>11</v>
      </c>
      <c r="F25" s="289">
        <f>'Solution 1, (hidden)'!L16</f>
        <v>156400</v>
      </c>
      <c r="G25" s="289">
        <f>'Solution  2, (hidden)'!L16</f>
        <v>212500</v>
      </c>
      <c r="H25" s="287">
        <f>'Solution 1, (hidden)'!D16</f>
        <v>126060</v>
      </c>
      <c r="I25" s="287">
        <f>'Solution  2, (hidden)'!D16</f>
        <v>270600</v>
      </c>
      <c r="J25" s="287">
        <f>'Solution 1, (hidden)'!K16</f>
        <v>146777.33861673821</v>
      </c>
      <c r="K25" s="287">
        <f>'Solution  2, (hidden)'!K16</f>
        <v>315071.77399404545</v>
      </c>
      <c r="L25" s="287">
        <f>'Solution 1, (hidden) (2)'!K16</f>
        <v>171575.02464206613</v>
      </c>
      <c r="M25" s="287">
        <f>'Solution  2, (hidden) (2)'!K16</f>
        <v>368302.40891752427</v>
      </c>
    </row>
    <row r="26" spans="3:13" x14ac:dyDescent="0.25">
      <c r="C26" s="285">
        <f>'Solution 1, (hidden)'!B17</f>
        <v>12</v>
      </c>
      <c r="D26" s="285">
        <f>'Solution  2, (hidden)'!B17</f>
        <v>12</v>
      </c>
      <c r="E26" s="285">
        <f>IF('2. Inputs and results'!$C$21&gt;='2. Inputs and results'!$B$21,'Solution  2, (hidden)'!B17,'Solution 1, (hidden)'!B17)</f>
        <v>12</v>
      </c>
      <c r="F26" s="289">
        <f>'Solution 1, (hidden)'!L17</f>
        <v>156400</v>
      </c>
      <c r="G26" s="289">
        <f>'Solution  2, (hidden)'!L17</f>
        <v>212500</v>
      </c>
      <c r="H26" s="287">
        <f>'Solution 1, (hidden)'!D17</f>
        <v>137520</v>
      </c>
      <c r="I26" s="287">
        <f>'Solution  2, (hidden)'!D17</f>
        <v>295200</v>
      </c>
      <c r="J26" s="287">
        <f>'Solution 1, (hidden)'!K17</f>
        <v>162640.65877524036</v>
      </c>
      <c r="K26" s="287">
        <f>'Solution  2, (hidden)'!K17</f>
        <v>349123.92721386685</v>
      </c>
      <c r="L26" s="287">
        <f>'Solution 1, (hidden) (2)'!K17</f>
        <v>193329.5261205901</v>
      </c>
      <c r="M26" s="287">
        <f>'Solution  2, (hidden) (2)'!K17</f>
        <v>415000.55345257575</v>
      </c>
    </row>
    <row r="27" spans="3:13" x14ac:dyDescent="0.25">
      <c r="C27" s="285">
        <f>'Solution 1, (hidden)'!B18</f>
        <v>13</v>
      </c>
      <c r="D27" s="285">
        <f>'Solution  2, (hidden)'!B18</f>
        <v>13</v>
      </c>
      <c r="E27" s="285">
        <f>IF('2. Inputs and results'!$C$21&gt;='2. Inputs and results'!$B$21,'Solution  2, (hidden)'!B18,'Solution 1, (hidden)'!B18)</f>
        <v>13</v>
      </c>
      <c r="F27" s="289">
        <f>'Solution 1, (hidden)'!L18</f>
        <v>156400</v>
      </c>
      <c r="G27" s="289">
        <f>'Solution  2, (hidden)'!L18</f>
        <v>212500</v>
      </c>
      <c r="H27" s="287">
        <f>'Solution 1, (hidden)'!D18</f>
        <v>148980</v>
      </c>
      <c r="I27" s="287">
        <f>'Solution  2, (hidden)'!D18</f>
        <v>319800</v>
      </c>
      <c r="J27" s="287">
        <f>'Solution 1, (hidden)'!K18</f>
        <v>178979.87853849758</v>
      </c>
      <c r="K27" s="287">
        <f>'Solution  2, (hidden)'!K18</f>
        <v>384197.64503028285</v>
      </c>
      <c r="L27" s="287">
        <f>'Solution 1, (hidden) (2)'!K18</f>
        <v>216389.29768782551</v>
      </c>
      <c r="M27" s="287">
        <f>'Solution  2, (hidden) (2)'!K18</f>
        <v>464500.5866597303</v>
      </c>
    </row>
    <row r="28" spans="3:13" x14ac:dyDescent="0.25">
      <c r="C28" s="285">
        <f>'Solution 1, (hidden)'!B19</f>
        <v>14</v>
      </c>
      <c r="D28" s="285">
        <f>'Solution  2, (hidden)'!B19</f>
        <v>14</v>
      </c>
      <c r="E28" s="285">
        <f>IF('2. Inputs and results'!$C$21&gt;='2. Inputs and results'!$B$21,'Solution  2, (hidden)'!B19,'Solution 1, (hidden)'!B19)</f>
        <v>14</v>
      </c>
      <c r="F28" s="289">
        <f>'Solution 1, (hidden)'!L19</f>
        <v>156400</v>
      </c>
      <c r="G28" s="289">
        <f>'Solution  2, (hidden)'!L19</f>
        <v>212500</v>
      </c>
      <c r="H28" s="287">
        <f>'Solution 1, (hidden)'!D19</f>
        <v>160440</v>
      </c>
      <c r="I28" s="287">
        <f>'Solution  2, (hidden)'!D19</f>
        <v>344400</v>
      </c>
      <c r="J28" s="287">
        <f>'Solution 1, (hidden)'!K19</f>
        <v>195809.27489465251</v>
      </c>
      <c r="K28" s="287">
        <f>'Solution  2, (hidden)'!K19</f>
        <v>420323.57438119134</v>
      </c>
      <c r="L28" s="287">
        <f>'Solution 1, (hidden) (2)'!K19</f>
        <v>240832.65554909504</v>
      </c>
      <c r="M28" s="287">
        <f>'Solution  2, (hidden) (2)'!K19</f>
        <v>516970.62185931415</v>
      </c>
    </row>
    <row r="29" spans="3:13" x14ac:dyDescent="0.25">
      <c r="C29" s="285">
        <f>'Solution 1, (hidden)'!B20</f>
        <v>15</v>
      </c>
      <c r="D29" s="285">
        <f>'Solution  2, (hidden)'!B20</f>
        <v>15</v>
      </c>
      <c r="E29" s="285">
        <f>IF('2. Inputs and results'!$C$21&gt;='2. Inputs and results'!$B$21,'Solution  2, (hidden)'!B20,'Solution 1, (hidden)'!B20)</f>
        <v>15</v>
      </c>
      <c r="F29" s="289">
        <f>'Solution 1, (hidden)'!L20</f>
        <v>156400</v>
      </c>
      <c r="G29" s="289">
        <f>'Solution  2, (hidden)'!L20</f>
        <v>212500</v>
      </c>
      <c r="H29" s="287">
        <f>'Solution 1, (hidden)'!D20</f>
        <v>171900</v>
      </c>
      <c r="I29" s="287">
        <f>'Solution  2, (hidden)'!D20</f>
        <v>369000</v>
      </c>
      <c r="J29" s="287">
        <f>'Solution 1, (hidden)'!K20</f>
        <v>213143.5531414921</v>
      </c>
      <c r="K29" s="287">
        <f>'Solution  2, (hidden)'!K20</f>
        <v>457533.28161262709</v>
      </c>
      <c r="L29" s="287">
        <f>'Solution 1, (hidden) (2)'!K20</f>
        <v>266742.61488204077</v>
      </c>
      <c r="M29" s="287">
        <f>'Solution  2, (hidden) (2)'!K20</f>
        <v>572588.85917087307</v>
      </c>
    </row>
    <row r="30" spans="3:13" x14ac:dyDescent="0.25">
      <c r="C30" s="285">
        <f>'Solution 1, (hidden)'!B21</f>
        <v>16</v>
      </c>
      <c r="D30" s="285">
        <f>'Solution  2, (hidden)'!B21</f>
        <v>16</v>
      </c>
      <c r="E30" s="285">
        <f>IF('2. Inputs and results'!$C$21&gt;='2. Inputs and results'!$B$21,'Solution  2, (hidden)'!B21,'Solution 1, (hidden)'!B21)</f>
        <v>16</v>
      </c>
      <c r="F30" s="289">
        <f>'Solution 1, (hidden)'!L21</f>
        <v>156400</v>
      </c>
      <c r="G30" s="289">
        <f>'Solution  2, (hidden)'!L21</f>
        <v>212500</v>
      </c>
      <c r="H30" s="287">
        <f>'Solution 1, (hidden)'!D21</f>
        <v>183360</v>
      </c>
      <c r="I30" s="287">
        <f>'Solution  2, (hidden)'!D21</f>
        <v>393600</v>
      </c>
      <c r="J30" s="287">
        <f>'Solution 1, (hidden)'!K21</f>
        <v>230997.85973573686</v>
      </c>
      <c r="K30" s="287">
        <f>'Solution  2, (hidden)'!K21</f>
        <v>495859.28006100591</v>
      </c>
      <c r="L30" s="287">
        <f>'Solution 1, (hidden) (2)'!K21</f>
        <v>294207.17177496321</v>
      </c>
      <c r="M30" s="287">
        <f>'Solution  2, (hidden) (2)'!K21</f>
        <v>631544.19072112546</v>
      </c>
    </row>
    <row r="31" spans="3:13" x14ac:dyDescent="0.25">
      <c r="C31" s="285">
        <f>'Solution 1, (hidden)'!B22</f>
        <v>17</v>
      </c>
      <c r="D31" s="285">
        <f>'Solution  2, (hidden)'!B22</f>
        <v>17</v>
      </c>
      <c r="E31" s="285">
        <f>IF('2. Inputs and results'!$C$21&gt;='2. Inputs and results'!$B$21,'Solution  2, (hidden)'!B22,'Solution 1, (hidden)'!B22)</f>
        <v>17</v>
      </c>
      <c r="F31" s="289">
        <f>'Solution 1, (hidden)'!L22</f>
        <v>156400</v>
      </c>
      <c r="G31" s="289">
        <f>'Solution  2, (hidden)'!L22</f>
        <v>212500</v>
      </c>
      <c r="H31" s="287">
        <f>'Solution 1, (hidden)'!D22</f>
        <v>194820</v>
      </c>
      <c r="I31" s="287">
        <f>'Solution  2, (hidden)'!D22</f>
        <v>418200</v>
      </c>
      <c r="J31" s="287">
        <f>'Solution 1, (hidden)'!K22</f>
        <v>249387.79552780898</v>
      </c>
      <c r="K31" s="287">
        <f>'Solution  2, (hidden)'!K22</f>
        <v>535335.05846283608</v>
      </c>
      <c r="L31" s="287">
        <f>'Solution 1, (hidden) (2)'!K22</f>
        <v>323319.60208146099</v>
      </c>
      <c r="M31" s="287">
        <f>'Solution  2, (hidden) (2)'!K22</f>
        <v>694036.84216439305</v>
      </c>
    </row>
    <row r="32" spans="3:13" x14ac:dyDescent="0.25">
      <c r="C32" s="285">
        <f>'Solution 1, (hidden)'!B23</f>
        <v>18</v>
      </c>
      <c r="D32" s="285">
        <f>'Solution  2, (hidden)'!B23</f>
        <v>18</v>
      </c>
      <c r="E32" s="285">
        <f>IF('2. Inputs and results'!$C$21&gt;='2. Inputs and results'!$B$21,'Solution  2, (hidden)'!B23,'Solution 1, (hidden)'!B23)</f>
        <v>18</v>
      </c>
      <c r="F32" s="289">
        <f>'Solution 1, (hidden)'!L23</f>
        <v>156400</v>
      </c>
      <c r="G32" s="289">
        <f>'Solution  2, (hidden)'!L23</f>
        <v>212500</v>
      </c>
      <c r="H32" s="287">
        <f>'Solution 1, (hidden)'!D23</f>
        <v>206280</v>
      </c>
      <c r="I32" s="287">
        <f>'Solution  2, (hidden)'!D23</f>
        <v>442800</v>
      </c>
      <c r="J32" s="287">
        <f>'Solution 1, (hidden)'!K23</f>
        <v>268329.42939364328</v>
      </c>
      <c r="K32" s="287">
        <f>'Solution  2, (hidden)'!K23</f>
        <v>575995.11021672119</v>
      </c>
      <c r="L32" s="287">
        <f>'Solution 1, (hidden) (2)'!K23</f>
        <v>354178.77820634865</v>
      </c>
      <c r="M32" s="287">
        <f>'Solution  2, (hidden) (2)'!K23</f>
        <v>760279.05269425665</v>
      </c>
    </row>
    <row r="33" spans="3:13" x14ac:dyDescent="0.25">
      <c r="C33" s="285">
        <f>'Solution 1, (hidden)'!B24</f>
        <v>19</v>
      </c>
      <c r="D33" s="285">
        <f>'Solution  2, (hidden)'!B24</f>
        <v>19</v>
      </c>
      <c r="E33" s="285">
        <f>IF('2. Inputs and results'!$C$21&gt;='2. Inputs and results'!$B$21,'Solution  2, (hidden)'!B24,'Solution 1, (hidden)'!B24)</f>
        <v>19</v>
      </c>
      <c r="F33" s="289">
        <f>'Solution 1, (hidden)'!L24</f>
        <v>156400</v>
      </c>
      <c r="G33" s="289">
        <f>'Solution  2, (hidden)'!L24</f>
        <v>212500</v>
      </c>
      <c r="H33" s="287">
        <f>'Solution 1, (hidden)'!D24</f>
        <v>217740</v>
      </c>
      <c r="I33" s="287">
        <f>'Solution  2, (hidden)'!D24</f>
        <v>467400</v>
      </c>
      <c r="J33" s="287">
        <f>'Solution 1, (hidden)'!K24</f>
        <v>287839.3122754526</v>
      </c>
      <c r="K33" s="287">
        <f>'Solution  2, (hidden)'!K24</f>
        <v>617874.96352322283</v>
      </c>
      <c r="L33" s="287">
        <f>'Solution 1, (hidden) (2)'!K24</f>
        <v>386889.50489872956</v>
      </c>
      <c r="M33" s="287">
        <f>'Solution  2, (hidden) (2)'!K24</f>
        <v>830495.79585591203</v>
      </c>
    </row>
    <row r="34" spans="3:13" x14ac:dyDescent="0.25">
      <c r="C34" s="285">
        <f>'Solution 1, (hidden)'!B25</f>
        <v>20</v>
      </c>
      <c r="D34" s="285">
        <f>'Solution  2, (hidden)'!B25</f>
        <v>20</v>
      </c>
      <c r="E34" s="285">
        <f>IF('2. Inputs and results'!$C$21&gt;='2. Inputs and results'!$B$21,'Solution  2, (hidden)'!B25,'Solution 1, (hidden)'!B25)</f>
        <v>20</v>
      </c>
      <c r="F34" s="289">
        <f>'Solution 1, (hidden)'!L25</f>
        <v>156400</v>
      </c>
      <c r="G34" s="289">
        <f>'Solution  2, (hidden)'!L25</f>
        <v>212500</v>
      </c>
      <c r="H34" s="287">
        <f>'Solution 1, (hidden)'!D25</f>
        <v>229200</v>
      </c>
      <c r="I34" s="287">
        <f>'Solution  2, (hidden)'!D25</f>
        <v>492000</v>
      </c>
      <c r="J34" s="287">
        <f>'Solution 1, (hidden)'!K25</f>
        <v>307934.49164371617</v>
      </c>
      <c r="K34" s="287">
        <f>'Solution  2, (hidden)'!K25</f>
        <v>661011.21242891951</v>
      </c>
      <c r="L34" s="287">
        <f>'Solution 1, (hidden) (2)'!K25</f>
        <v>421562.87519265333</v>
      </c>
      <c r="M34" s="287">
        <f>'Solution  2, (hidden) (2)'!K25</f>
        <v>904925.54360726674</v>
      </c>
    </row>
    <row r="35" spans="3:13" x14ac:dyDescent="0.25">
      <c r="C35" s="285" t="str">
        <f>'Solution 1, (hidden)'!B26</f>
        <v xml:space="preserve"> </v>
      </c>
      <c r="D35" s="285" t="str">
        <f>'Solution  2, (hidden)'!B26</f>
        <v xml:space="preserve"> </v>
      </c>
      <c r="E35" s="285" t="str">
        <f>IF('2. Inputs and results'!$C$21&gt;='2. Inputs and results'!$B$21,'Solution  2, (hidden)'!B26,'Solution 1, (hidden)'!B26)</f>
        <v xml:space="preserve"> </v>
      </c>
      <c r="F35" s="289" t="e">
        <f>'Solution 1, (hidden)'!L26</f>
        <v>#N/A</v>
      </c>
      <c r="G35" s="289" t="e">
        <f>'Solution  2, (hidden)'!L26</f>
        <v>#N/A</v>
      </c>
      <c r="H35" s="287" t="e">
        <f>'Solution 1, (hidden)'!D26</f>
        <v>#N/A</v>
      </c>
      <c r="I35" s="287" t="e">
        <f>'Solution  2, (hidden)'!D26</f>
        <v>#N/A</v>
      </c>
      <c r="J35" s="287" t="e">
        <f>'Solution 1, (hidden)'!K26</f>
        <v>#N/A</v>
      </c>
      <c r="K35" s="287" t="e">
        <f>'Solution  2, (hidden)'!K26</f>
        <v>#N/A</v>
      </c>
      <c r="L35" s="287" t="e">
        <f>'Solution 1, (hidden) (2)'!K26</f>
        <v>#N/A</v>
      </c>
      <c r="M35" s="287" t="e">
        <f>'Solution  2, (hidden) (2)'!K26</f>
        <v>#N/A</v>
      </c>
    </row>
    <row r="36" spans="3:13" x14ac:dyDescent="0.25">
      <c r="C36" s="285" t="str">
        <f>'Solution 1, (hidden)'!B27</f>
        <v xml:space="preserve"> </v>
      </c>
      <c r="D36" s="285" t="str">
        <f>'Solution  2, (hidden)'!B27</f>
        <v xml:space="preserve"> </v>
      </c>
      <c r="E36" s="285" t="str">
        <f>IF('2. Inputs and results'!$C$21&gt;='2. Inputs and results'!$B$21,'Solution  2, (hidden)'!B27,'Solution 1, (hidden)'!B27)</f>
        <v xml:space="preserve"> </v>
      </c>
      <c r="F36" s="289" t="e">
        <f>'Solution 1, (hidden)'!L27</f>
        <v>#N/A</v>
      </c>
      <c r="G36" s="289" t="e">
        <f>'Solution  2, (hidden)'!L27</f>
        <v>#N/A</v>
      </c>
      <c r="H36" s="287" t="e">
        <f>'Solution 1, (hidden)'!D27</f>
        <v>#N/A</v>
      </c>
      <c r="I36" s="287" t="e">
        <f>'Solution  2, (hidden)'!D27</f>
        <v>#N/A</v>
      </c>
      <c r="J36" s="287" t="e">
        <f>'Solution 1, (hidden)'!K27</f>
        <v>#N/A</v>
      </c>
      <c r="K36" s="287" t="e">
        <f>'Solution  2, (hidden)'!K27</f>
        <v>#N/A</v>
      </c>
      <c r="L36" s="287" t="e">
        <f>'Solution 1, (hidden) (2)'!K27</f>
        <v>#N/A</v>
      </c>
      <c r="M36" s="287" t="e">
        <f>'Solution  2, (hidden) (2)'!K27</f>
        <v>#N/A</v>
      </c>
    </row>
    <row r="37" spans="3:13" x14ac:dyDescent="0.25">
      <c r="C37" s="285" t="str">
        <f>'Solution 1, (hidden)'!B28</f>
        <v xml:space="preserve"> </v>
      </c>
      <c r="D37" s="285" t="str">
        <f>'Solution  2, (hidden)'!B28</f>
        <v xml:space="preserve"> </v>
      </c>
      <c r="E37" s="285" t="str">
        <f>IF('2. Inputs and results'!$C$21&gt;='2. Inputs and results'!$B$21,'Solution  2, (hidden)'!B28,'Solution 1, (hidden)'!B28)</f>
        <v xml:space="preserve"> </v>
      </c>
      <c r="F37" s="289" t="e">
        <f>'Solution 1, (hidden)'!L28</f>
        <v>#N/A</v>
      </c>
      <c r="G37" s="289" t="e">
        <f>'Solution  2, (hidden)'!L28</f>
        <v>#N/A</v>
      </c>
      <c r="H37" s="287" t="e">
        <f>'Solution 1, (hidden)'!D28</f>
        <v>#N/A</v>
      </c>
      <c r="I37" s="287" t="e">
        <f>'Solution  2, (hidden)'!D28</f>
        <v>#N/A</v>
      </c>
      <c r="J37" s="287" t="e">
        <f>'Solution 1, (hidden)'!K28</f>
        <v>#N/A</v>
      </c>
      <c r="K37" s="287" t="e">
        <f>'Solution  2, (hidden)'!K28</f>
        <v>#N/A</v>
      </c>
      <c r="L37" s="287" t="e">
        <f>'Solution 1, (hidden) (2)'!K28</f>
        <v>#N/A</v>
      </c>
      <c r="M37" s="287" t="e">
        <f>'Solution  2, (hidden) (2)'!K28</f>
        <v>#N/A</v>
      </c>
    </row>
    <row r="38" spans="3:13" x14ac:dyDescent="0.25">
      <c r="C38" s="285" t="str">
        <f>'Solution 1, (hidden)'!B29</f>
        <v xml:space="preserve"> </v>
      </c>
      <c r="D38" s="285" t="str">
        <f>'Solution  2, (hidden)'!B29</f>
        <v xml:space="preserve"> </v>
      </c>
      <c r="E38" s="285" t="str">
        <f>IF('2. Inputs and results'!$C$21&gt;='2. Inputs and results'!$B$21,'Solution  2, (hidden)'!B29,'Solution 1, (hidden)'!B29)</f>
        <v xml:space="preserve"> </v>
      </c>
      <c r="F38" s="289" t="e">
        <f>'Solution 1, (hidden)'!L29</f>
        <v>#N/A</v>
      </c>
      <c r="G38" s="289" t="e">
        <f>'Solution  2, (hidden)'!L29</f>
        <v>#N/A</v>
      </c>
      <c r="H38" s="287" t="e">
        <f>'Solution 1, (hidden)'!D29</f>
        <v>#N/A</v>
      </c>
      <c r="I38" s="287" t="e">
        <f>'Solution  2, (hidden)'!D29</f>
        <v>#N/A</v>
      </c>
      <c r="J38" s="287" t="e">
        <f>'Solution 1, (hidden)'!K29</f>
        <v>#N/A</v>
      </c>
      <c r="K38" s="287" t="e">
        <f>'Solution  2, (hidden)'!K29</f>
        <v>#N/A</v>
      </c>
      <c r="L38" s="287" t="e">
        <f>'Solution 1, (hidden) (2)'!K29</f>
        <v>#N/A</v>
      </c>
      <c r="M38" s="287" t="e">
        <f>'Solution  2, (hidden) (2)'!K29</f>
        <v>#N/A</v>
      </c>
    </row>
    <row r="39" spans="3:13" x14ac:dyDescent="0.25">
      <c r="C39" s="285" t="str">
        <f>'Solution 1, (hidden)'!B30</f>
        <v xml:space="preserve"> </v>
      </c>
      <c r="D39" s="285" t="str">
        <f>'Solution  2, (hidden)'!B30</f>
        <v xml:space="preserve"> </v>
      </c>
      <c r="E39" s="285" t="str">
        <f>IF('2. Inputs and results'!$C$21&gt;='2. Inputs and results'!$B$21,'Solution  2, (hidden)'!B30,'Solution 1, (hidden)'!B30)</f>
        <v xml:space="preserve"> </v>
      </c>
      <c r="F39" s="289" t="e">
        <f>'Solution 1, (hidden)'!L30</f>
        <v>#N/A</v>
      </c>
      <c r="G39" s="289" t="e">
        <f>'Solution  2, (hidden)'!L30</f>
        <v>#N/A</v>
      </c>
      <c r="H39" s="287" t="e">
        <f>'Solution 1, (hidden)'!D30</f>
        <v>#N/A</v>
      </c>
      <c r="I39" s="287" t="e">
        <f>'Solution  2, (hidden)'!D30</f>
        <v>#N/A</v>
      </c>
      <c r="J39" s="287" t="e">
        <f>'Solution 1, (hidden)'!K30</f>
        <v>#N/A</v>
      </c>
      <c r="K39" s="287" t="e">
        <f>'Solution  2, (hidden)'!K30</f>
        <v>#N/A</v>
      </c>
      <c r="L39" s="287" t="e">
        <f>'Solution 1, (hidden) (2)'!K30</f>
        <v>#N/A</v>
      </c>
      <c r="M39" s="287" t="e">
        <f>'Solution  2, (hidden) (2)'!K30</f>
        <v>#N/A</v>
      </c>
    </row>
    <row r="40" spans="3:13" x14ac:dyDescent="0.25">
      <c r="C40" s="285" t="str">
        <f>'Solution 1, (hidden)'!B31</f>
        <v xml:space="preserve"> </v>
      </c>
      <c r="D40" s="285" t="str">
        <f>'Solution  2, (hidden)'!B31</f>
        <v xml:space="preserve"> </v>
      </c>
      <c r="E40" s="285" t="str">
        <f>IF('2. Inputs and results'!$C$21&gt;='2. Inputs and results'!$B$21,'Solution  2, (hidden)'!B31,'Solution 1, (hidden)'!B31)</f>
        <v xml:space="preserve"> </v>
      </c>
      <c r="F40" s="289" t="e">
        <f>'Solution 1, (hidden)'!L31</f>
        <v>#N/A</v>
      </c>
      <c r="G40" s="289" t="e">
        <f>'Solution  2, (hidden)'!L31</f>
        <v>#N/A</v>
      </c>
      <c r="H40" s="287" t="e">
        <f>'Solution 1, (hidden)'!D31</f>
        <v>#N/A</v>
      </c>
      <c r="I40" s="287" t="e">
        <f>'Solution  2, (hidden)'!D31</f>
        <v>#N/A</v>
      </c>
      <c r="J40" s="287" t="e">
        <f>'Solution 1, (hidden)'!K31</f>
        <v>#N/A</v>
      </c>
      <c r="K40" s="287" t="e">
        <f>'Solution  2, (hidden)'!K31</f>
        <v>#N/A</v>
      </c>
      <c r="L40" s="287" t="e">
        <f>'Solution 1, (hidden) (2)'!K31</f>
        <v>#N/A</v>
      </c>
      <c r="M40" s="287" t="e">
        <f>'Solution  2, (hidden) (2)'!K31</f>
        <v>#N/A</v>
      </c>
    </row>
    <row r="41" spans="3:13" x14ac:dyDescent="0.25">
      <c r="C41" s="285" t="str">
        <f>'Solution 1, (hidden)'!B32</f>
        <v xml:space="preserve"> </v>
      </c>
      <c r="D41" s="285" t="str">
        <f>'Solution  2, (hidden)'!B32</f>
        <v xml:space="preserve"> </v>
      </c>
      <c r="E41" s="285" t="str">
        <f>IF('2. Inputs and results'!$C$21&gt;='2. Inputs and results'!$B$21,'Solution  2, (hidden)'!B32,'Solution 1, (hidden)'!B32)</f>
        <v xml:space="preserve"> </v>
      </c>
      <c r="F41" s="289" t="e">
        <f>'Solution 1, (hidden)'!L32</f>
        <v>#N/A</v>
      </c>
      <c r="G41" s="289" t="e">
        <f>'Solution  2, (hidden)'!L32</f>
        <v>#N/A</v>
      </c>
      <c r="H41" s="287" t="e">
        <f>'Solution 1, (hidden)'!D32</f>
        <v>#N/A</v>
      </c>
      <c r="I41" s="287" t="e">
        <f>'Solution  2, (hidden)'!D32</f>
        <v>#N/A</v>
      </c>
      <c r="J41" s="287" t="e">
        <f>'Solution 1, (hidden)'!K32</f>
        <v>#N/A</v>
      </c>
      <c r="K41" s="287" t="e">
        <f>'Solution  2, (hidden)'!K32</f>
        <v>#N/A</v>
      </c>
      <c r="L41" s="287" t="e">
        <f>'Solution 1, (hidden) (2)'!K32</f>
        <v>#N/A</v>
      </c>
      <c r="M41" s="287" t="e">
        <f>'Solution  2, (hidden) (2)'!K32</f>
        <v>#N/A</v>
      </c>
    </row>
    <row r="42" spans="3:13" x14ac:dyDescent="0.25">
      <c r="C42" s="285" t="str">
        <f>'Solution 1, (hidden)'!B33</f>
        <v xml:space="preserve"> </v>
      </c>
      <c r="D42" s="285" t="str">
        <f>'Solution  2, (hidden)'!B33</f>
        <v xml:space="preserve"> </v>
      </c>
      <c r="E42" s="285" t="str">
        <f>IF('2. Inputs and results'!$C$21&gt;='2. Inputs and results'!$B$21,'Solution  2, (hidden)'!B33,'Solution 1, (hidden)'!B33)</f>
        <v xml:space="preserve"> </v>
      </c>
      <c r="F42" s="289" t="e">
        <f>'Solution 1, (hidden)'!L33</f>
        <v>#N/A</v>
      </c>
      <c r="G42" s="289" t="e">
        <f>'Solution  2, (hidden)'!L33</f>
        <v>#N/A</v>
      </c>
      <c r="H42" s="287" t="e">
        <f>'Solution 1, (hidden)'!D33</f>
        <v>#N/A</v>
      </c>
      <c r="I42" s="287" t="e">
        <f>'Solution  2, (hidden)'!D33</f>
        <v>#N/A</v>
      </c>
      <c r="J42" s="287" t="e">
        <f>'Solution 1, (hidden)'!K33</f>
        <v>#N/A</v>
      </c>
      <c r="K42" s="287" t="e">
        <f>'Solution  2, (hidden)'!K33</f>
        <v>#N/A</v>
      </c>
      <c r="L42" s="287" t="e">
        <f>'Solution 1, (hidden) (2)'!K33</f>
        <v>#N/A</v>
      </c>
      <c r="M42" s="287" t="e">
        <f>'Solution  2, (hidden) (2)'!K33</f>
        <v>#N/A</v>
      </c>
    </row>
    <row r="43" spans="3:13" x14ac:dyDescent="0.25">
      <c r="C43" s="285" t="str">
        <f>'Solution 1, (hidden)'!B34</f>
        <v xml:space="preserve"> </v>
      </c>
      <c r="D43" s="285" t="str">
        <f>'Solution  2, (hidden)'!B34</f>
        <v xml:space="preserve"> </v>
      </c>
      <c r="E43" s="285" t="str">
        <f>IF('2. Inputs and results'!$C$21&gt;='2. Inputs and results'!$B$21,'Solution  2, (hidden)'!B34,'Solution 1, (hidden)'!B34)</f>
        <v xml:space="preserve"> </v>
      </c>
      <c r="F43" s="289" t="e">
        <f>'Solution 1, (hidden)'!L34</f>
        <v>#N/A</v>
      </c>
      <c r="G43" s="289" t="e">
        <f>'Solution  2, (hidden)'!L34</f>
        <v>#N/A</v>
      </c>
      <c r="H43" s="287" t="e">
        <f>'Solution 1, (hidden)'!D34</f>
        <v>#N/A</v>
      </c>
      <c r="I43" s="287" t="e">
        <f>'Solution  2, (hidden)'!D34</f>
        <v>#N/A</v>
      </c>
      <c r="J43" s="287" t="e">
        <f>'Solution 1, (hidden)'!K34</f>
        <v>#N/A</v>
      </c>
      <c r="K43" s="287" t="e">
        <f>'Solution  2, (hidden)'!K34</f>
        <v>#N/A</v>
      </c>
      <c r="L43" s="287" t="e">
        <f>'Solution 1, (hidden) (2)'!K34</f>
        <v>#N/A</v>
      </c>
      <c r="M43" s="287" t="e">
        <f>'Solution  2, (hidden) (2)'!K34</f>
        <v>#N/A</v>
      </c>
    </row>
    <row r="44" spans="3:13" x14ac:dyDescent="0.25">
      <c r="C44" s="285" t="str">
        <f>'Solution 1, (hidden)'!B35</f>
        <v xml:space="preserve"> </v>
      </c>
      <c r="D44" s="285" t="str">
        <f>'Solution  2, (hidden)'!B35</f>
        <v xml:space="preserve"> </v>
      </c>
      <c r="E44" s="285" t="str">
        <f>IF('2. Inputs and results'!$C$21&gt;='2. Inputs and results'!$B$21,'Solution  2, (hidden)'!B35,'Solution 1, (hidden)'!B35)</f>
        <v xml:space="preserve"> </v>
      </c>
      <c r="F44" s="289" t="e">
        <f>'Solution 1, (hidden)'!L35</f>
        <v>#N/A</v>
      </c>
      <c r="G44" s="289" t="e">
        <f>'Solution  2, (hidden)'!L35</f>
        <v>#N/A</v>
      </c>
      <c r="H44" s="287" t="e">
        <f>'Solution 1, (hidden)'!D35</f>
        <v>#N/A</v>
      </c>
      <c r="I44" s="287" t="e">
        <f>'Solution  2, (hidden)'!D35</f>
        <v>#N/A</v>
      </c>
      <c r="J44" s="287" t="e">
        <f>'Solution 1, (hidden)'!K35</f>
        <v>#N/A</v>
      </c>
      <c r="K44" s="287" t="e">
        <f>'Solution  2, (hidden)'!K35</f>
        <v>#N/A</v>
      </c>
      <c r="L44" s="287" t="e">
        <f>'Solution 1, (hidden) (2)'!K35</f>
        <v>#N/A</v>
      </c>
      <c r="M44" s="287" t="e">
        <f>'Solution  2, (hidden) (2)'!K35</f>
        <v>#N/A</v>
      </c>
    </row>
    <row r="45" spans="3:13" x14ac:dyDescent="0.25">
      <c r="C45" s="285" t="str">
        <f>'Solution 1, (hidden)'!B36</f>
        <v xml:space="preserve"> </v>
      </c>
      <c r="D45" s="285" t="str">
        <f>'Solution  2, (hidden)'!B36</f>
        <v xml:space="preserve"> </v>
      </c>
      <c r="E45" s="285" t="str">
        <f>IF('2. Inputs and results'!$C$21&gt;='2. Inputs and results'!$B$21,'Solution  2, (hidden)'!B36,'Solution 1, (hidden)'!B36)</f>
        <v xml:space="preserve"> </v>
      </c>
      <c r="F45" s="290" t="e">
        <f>'Solution 1, (hidden)'!L36</f>
        <v>#N/A</v>
      </c>
      <c r="G45" s="290" t="e">
        <f>'Solution  2, (hidden)'!L36</f>
        <v>#N/A</v>
      </c>
      <c r="H45" s="288" t="e">
        <f>'Solution 1, (hidden)'!D36</f>
        <v>#N/A</v>
      </c>
      <c r="I45" s="288" t="e">
        <f>'Solution  2, (hidden)'!D36</f>
        <v>#N/A</v>
      </c>
      <c r="J45" s="288" t="e">
        <f>'Solution 1, (hidden)'!K36</f>
        <v>#N/A</v>
      </c>
      <c r="K45" s="288" t="e">
        <f>'Solution  2, (hidden)'!K36</f>
        <v>#N/A</v>
      </c>
      <c r="L45" s="287" t="e">
        <f>'Solution 1, (hidden) (2)'!K36</f>
        <v>#N/A</v>
      </c>
      <c r="M45" s="287" t="e">
        <f>'Solution  2, (hidden) (2)'!K36</f>
        <v>#N/A</v>
      </c>
    </row>
    <row r="46" spans="3:13" x14ac:dyDescent="0.25">
      <c r="C46" s="285" t="str">
        <f>'Solution 1, (hidden)'!B37</f>
        <v xml:space="preserve"> </v>
      </c>
      <c r="D46" s="285" t="str">
        <f>'Solution  2, (hidden)'!B37</f>
        <v xml:space="preserve"> </v>
      </c>
      <c r="E46" s="285" t="str">
        <f>IF('2. Inputs and results'!$C$21&gt;='2. Inputs and results'!$B$21,'Solution  2, (hidden)'!B37,'Solution 1, (hidden)'!B37)</f>
        <v xml:space="preserve"> </v>
      </c>
      <c r="F46" s="290" t="e">
        <f>'Solution 1, (hidden)'!L37</f>
        <v>#N/A</v>
      </c>
      <c r="G46" s="290" t="e">
        <f>'Solution  2, (hidden)'!L37</f>
        <v>#N/A</v>
      </c>
      <c r="H46" s="288" t="e">
        <f>'Solution 1, (hidden)'!D37</f>
        <v>#N/A</v>
      </c>
      <c r="I46" s="288" t="e">
        <f>'Solution  2, (hidden)'!D37</f>
        <v>#N/A</v>
      </c>
      <c r="J46" s="288" t="e">
        <f>'Solution 1, (hidden)'!K37</f>
        <v>#N/A</v>
      </c>
      <c r="K46" s="288" t="e">
        <f>'Solution  2, (hidden)'!K37</f>
        <v>#N/A</v>
      </c>
      <c r="L46" s="287" t="e">
        <f>'Solution 1, (hidden) (2)'!K37</f>
        <v>#N/A</v>
      </c>
      <c r="M46" s="287" t="e">
        <f>'Solution  2, (hidden) (2)'!K37</f>
        <v>#N/A</v>
      </c>
    </row>
    <row r="47" spans="3:13" x14ac:dyDescent="0.25">
      <c r="C47" s="285" t="str">
        <f>'Solution 1, (hidden)'!B38</f>
        <v xml:space="preserve"> </v>
      </c>
      <c r="D47" s="285" t="str">
        <f>'Solution  2, (hidden)'!B38</f>
        <v xml:space="preserve"> </v>
      </c>
      <c r="E47" s="285" t="str">
        <f>IF('2. Inputs and results'!$C$21&gt;='2. Inputs and results'!$B$21,'Solution  2, (hidden)'!B38,'Solution 1, (hidden)'!B38)</f>
        <v xml:space="preserve"> </v>
      </c>
      <c r="F47" s="290" t="e">
        <f>'Solution 1, (hidden)'!L38</f>
        <v>#N/A</v>
      </c>
      <c r="G47" s="290" t="e">
        <f>'Solution  2, (hidden)'!L38</f>
        <v>#N/A</v>
      </c>
      <c r="H47" s="288" t="e">
        <f>'Solution 1, (hidden)'!D38</f>
        <v>#N/A</v>
      </c>
      <c r="I47" s="288" t="e">
        <f>'Solution  2, (hidden)'!D38</f>
        <v>#N/A</v>
      </c>
      <c r="J47" s="288" t="e">
        <f>'Solution 1, (hidden)'!K38</f>
        <v>#N/A</v>
      </c>
      <c r="K47" s="288" t="e">
        <f>'Solution  2, (hidden)'!K38</f>
        <v>#N/A</v>
      </c>
      <c r="L47" s="287" t="e">
        <f>'Solution 1, (hidden) (2)'!K38</f>
        <v>#N/A</v>
      </c>
      <c r="M47" s="287" t="e">
        <f>'Solution  2, (hidden) (2)'!K38</f>
        <v>#N/A</v>
      </c>
    </row>
    <row r="48" spans="3:13" x14ac:dyDescent="0.25">
      <c r="C48" s="285" t="str">
        <f>'Solution 1, (hidden)'!B39</f>
        <v xml:space="preserve"> </v>
      </c>
      <c r="D48" s="285" t="str">
        <f>'Solution  2, (hidden)'!B39</f>
        <v xml:space="preserve"> </v>
      </c>
      <c r="E48" s="285" t="str">
        <f>IF('2. Inputs and results'!$C$21&gt;='2. Inputs and results'!$B$21,'Solution  2, (hidden)'!B39,'Solution 1, (hidden)'!B39)</f>
        <v xml:space="preserve"> </v>
      </c>
      <c r="F48" s="290" t="e">
        <f>'Solution 1, (hidden)'!L39</f>
        <v>#N/A</v>
      </c>
      <c r="G48" s="290" t="e">
        <f>'Solution  2, (hidden)'!L39</f>
        <v>#N/A</v>
      </c>
      <c r="H48" s="288" t="e">
        <f>'Solution 1, (hidden)'!D39</f>
        <v>#N/A</v>
      </c>
      <c r="I48" s="288" t="e">
        <f>'Solution  2, (hidden)'!D39</f>
        <v>#N/A</v>
      </c>
      <c r="J48" s="288" t="e">
        <f>'Solution 1, (hidden)'!K39</f>
        <v>#N/A</v>
      </c>
      <c r="K48" s="288" t="e">
        <f>'Solution  2, (hidden)'!K39</f>
        <v>#N/A</v>
      </c>
      <c r="L48" s="287" t="e">
        <f>'Solution 1, (hidden) (2)'!K39</f>
        <v>#N/A</v>
      </c>
      <c r="M48" s="287" t="e">
        <f>'Solution  2, (hidden) (2)'!K39</f>
        <v>#N/A</v>
      </c>
    </row>
    <row r="49" spans="3:13" x14ac:dyDescent="0.25">
      <c r="C49" s="285" t="str">
        <f>'Solution 1, (hidden)'!B40</f>
        <v xml:space="preserve"> </v>
      </c>
      <c r="D49" s="285" t="str">
        <f>'Solution  2, (hidden)'!B40</f>
        <v xml:space="preserve"> </v>
      </c>
      <c r="E49" s="285" t="str">
        <f>IF('2. Inputs and results'!$C$21&gt;='2. Inputs and results'!$B$21,'Solution  2, (hidden)'!B40,'Solution 1, (hidden)'!B40)</f>
        <v xml:space="preserve"> </v>
      </c>
      <c r="F49" s="290" t="e">
        <f>'Solution 1, (hidden)'!L40</f>
        <v>#N/A</v>
      </c>
      <c r="G49" s="290" t="e">
        <f>'Solution  2, (hidden)'!L40</f>
        <v>#N/A</v>
      </c>
      <c r="H49" s="288" t="e">
        <f>'Solution 1, (hidden)'!D40</f>
        <v>#N/A</v>
      </c>
      <c r="I49" s="288" t="e">
        <f>'Solution  2, (hidden)'!D40</f>
        <v>#N/A</v>
      </c>
      <c r="J49" s="288" t="e">
        <f>'Solution 1, (hidden)'!K40</f>
        <v>#N/A</v>
      </c>
      <c r="K49" s="288" t="e">
        <f>'Solution  2, (hidden)'!K40</f>
        <v>#N/A</v>
      </c>
      <c r="L49" s="287" t="e">
        <f>'Solution 1, (hidden) (2)'!K40</f>
        <v>#N/A</v>
      </c>
      <c r="M49" s="287" t="e">
        <f>'Solution  2, (hidden) (2)'!K40</f>
        <v>#N/A</v>
      </c>
    </row>
    <row r="50" spans="3:13" x14ac:dyDescent="0.25">
      <c r="C50" s="285" t="str">
        <f>'Solution 1, (hidden)'!B41</f>
        <v xml:space="preserve"> </v>
      </c>
      <c r="D50" s="285" t="str">
        <f>'Solution  2, (hidden)'!B41</f>
        <v xml:space="preserve"> </v>
      </c>
      <c r="E50" s="285" t="str">
        <f>IF('2. Inputs and results'!$C$21&gt;='2. Inputs and results'!$B$21,'Solution  2, (hidden)'!B41,'Solution 1, (hidden)'!B41)</f>
        <v xml:space="preserve"> </v>
      </c>
      <c r="F50" s="290" t="e">
        <f>'Solution 1, (hidden)'!L41</f>
        <v>#N/A</v>
      </c>
      <c r="G50" s="290" t="e">
        <f>'Solution  2, (hidden)'!L41</f>
        <v>#N/A</v>
      </c>
      <c r="H50" s="288" t="e">
        <f>'Solution 1, (hidden)'!D41</f>
        <v>#N/A</v>
      </c>
      <c r="I50" s="288" t="e">
        <f>'Solution  2, (hidden)'!D41</f>
        <v>#N/A</v>
      </c>
      <c r="J50" s="288" t="e">
        <f>'Solution 1, (hidden)'!K41</f>
        <v>#N/A</v>
      </c>
      <c r="K50" s="288" t="e">
        <f>'Solution  2, (hidden)'!K41</f>
        <v>#N/A</v>
      </c>
      <c r="L50" s="287" t="e">
        <f>'Solution 1, (hidden) (2)'!K41</f>
        <v>#N/A</v>
      </c>
      <c r="M50" s="287" t="e">
        <f>'Solution  2, (hidden) (2)'!K41</f>
        <v>#N/A</v>
      </c>
    </row>
    <row r="51" spans="3:13" x14ac:dyDescent="0.25">
      <c r="C51" s="285" t="str">
        <f>'Solution 1, (hidden)'!B42</f>
        <v xml:space="preserve"> </v>
      </c>
      <c r="D51" s="285" t="str">
        <f>'Solution  2, (hidden)'!B42</f>
        <v xml:space="preserve"> </v>
      </c>
      <c r="E51" s="285" t="str">
        <f>IF('2. Inputs and results'!$C$21&gt;='2. Inputs and results'!$B$21,'Solution  2, (hidden)'!B42,'Solution 1, (hidden)'!B42)</f>
        <v xml:space="preserve"> </v>
      </c>
      <c r="F51" s="290" t="e">
        <f>'Solution 1, (hidden)'!L42</f>
        <v>#N/A</v>
      </c>
      <c r="G51" s="290" t="e">
        <f>'Solution  2, (hidden)'!L42</f>
        <v>#N/A</v>
      </c>
      <c r="H51" s="288" t="e">
        <f>'Solution 1, (hidden)'!D42</f>
        <v>#N/A</v>
      </c>
      <c r="I51" s="288" t="e">
        <f>'Solution  2, (hidden)'!D42</f>
        <v>#N/A</v>
      </c>
      <c r="J51" s="288" t="e">
        <f>'Solution 1, (hidden)'!K42</f>
        <v>#N/A</v>
      </c>
      <c r="K51" s="288" t="e">
        <f>'Solution  2, (hidden)'!K42</f>
        <v>#N/A</v>
      </c>
      <c r="L51" s="287" t="e">
        <f>'Solution 1, (hidden) (2)'!K42</f>
        <v>#N/A</v>
      </c>
      <c r="M51" s="287" t="e">
        <f>'Solution  2, (hidden) (2)'!K42</f>
        <v>#N/A</v>
      </c>
    </row>
    <row r="52" spans="3:13" x14ac:dyDescent="0.25">
      <c r="C52" s="285" t="str">
        <f>'Solution 1, (hidden)'!B43</f>
        <v xml:space="preserve"> </v>
      </c>
      <c r="D52" s="285" t="str">
        <f>'Solution  2, (hidden)'!B43</f>
        <v xml:space="preserve"> </v>
      </c>
      <c r="E52" s="285" t="str">
        <f>IF('2. Inputs and results'!$C$21&gt;='2. Inputs and results'!$B$21,'Solution  2, (hidden)'!B43,'Solution 1, (hidden)'!B43)</f>
        <v xml:space="preserve"> </v>
      </c>
      <c r="F52" s="290" t="e">
        <f>'Solution 1, (hidden)'!L43</f>
        <v>#N/A</v>
      </c>
      <c r="G52" s="290" t="e">
        <f>'Solution  2, (hidden)'!L43</f>
        <v>#N/A</v>
      </c>
      <c r="H52" s="288" t="e">
        <f>'Solution 1, (hidden)'!D43</f>
        <v>#N/A</v>
      </c>
      <c r="I52" s="288" t="e">
        <f>'Solution  2, (hidden)'!D43</f>
        <v>#N/A</v>
      </c>
      <c r="J52" s="288" t="e">
        <f>'Solution 1, (hidden)'!K43</f>
        <v>#N/A</v>
      </c>
      <c r="K52" s="288" t="e">
        <f>'Solution  2, (hidden)'!K43</f>
        <v>#N/A</v>
      </c>
      <c r="L52" s="287" t="e">
        <f>'Solution 1, (hidden) (2)'!K43</f>
        <v>#N/A</v>
      </c>
      <c r="M52" s="287" t="e">
        <f>'Solution  2, (hidden) (2)'!K43</f>
        <v>#N/A</v>
      </c>
    </row>
    <row r="53" spans="3:13" x14ac:dyDescent="0.25">
      <c r="C53" s="285" t="str">
        <f>'Solution 1, (hidden)'!B44</f>
        <v xml:space="preserve"> </v>
      </c>
      <c r="D53" s="285" t="str">
        <f>'Solution  2, (hidden)'!B44</f>
        <v xml:space="preserve"> </v>
      </c>
      <c r="E53" s="285" t="str">
        <f>IF('2. Inputs and results'!$C$21&gt;='2. Inputs and results'!$B$21,'Solution  2, (hidden)'!B44,'Solution 1, (hidden)'!B44)</f>
        <v xml:space="preserve"> </v>
      </c>
      <c r="F53" s="290" t="e">
        <f>'Solution 1, (hidden)'!L44</f>
        <v>#N/A</v>
      </c>
      <c r="G53" s="290" t="e">
        <f>'Solution  2, (hidden)'!L44</f>
        <v>#N/A</v>
      </c>
      <c r="H53" s="288" t="e">
        <f>'Solution 1, (hidden)'!D44</f>
        <v>#N/A</v>
      </c>
      <c r="I53" s="288" t="e">
        <f>'Solution  2, (hidden)'!D44</f>
        <v>#N/A</v>
      </c>
      <c r="J53" s="288" t="e">
        <f>'Solution 1, (hidden)'!K44</f>
        <v>#N/A</v>
      </c>
      <c r="K53" s="288" t="e">
        <f>'Solution  2, (hidden)'!K44</f>
        <v>#N/A</v>
      </c>
      <c r="L53" s="287" t="e">
        <f>'Solution 1, (hidden) (2)'!K44</f>
        <v>#N/A</v>
      </c>
      <c r="M53" s="287" t="e">
        <f>'Solution  2, (hidden) (2)'!K44</f>
        <v>#N/A</v>
      </c>
    </row>
    <row r="54" spans="3:13" x14ac:dyDescent="0.25">
      <c r="C54" s="285" t="str">
        <f>'Solution 1, (hidden)'!B45</f>
        <v xml:space="preserve"> </v>
      </c>
      <c r="D54" s="285" t="str">
        <f>'Solution  2, (hidden)'!B45</f>
        <v xml:space="preserve"> </v>
      </c>
      <c r="E54" s="285" t="str">
        <f>IF('2. Inputs and results'!$C$21&gt;='2. Inputs and results'!$B$21,'Solution  2, (hidden)'!B45,'Solution 1, (hidden)'!B45)</f>
        <v xml:space="preserve"> </v>
      </c>
      <c r="F54" s="290" t="e">
        <f>'Solution 1, (hidden)'!L45</f>
        <v>#N/A</v>
      </c>
      <c r="G54" s="290" t="e">
        <f>'Solution  2, (hidden)'!L45</f>
        <v>#N/A</v>
      </c>
      <c r="H54" s="288" t="e">
        <f>'Solution 1, (hidden)'!D45</f>
        <v>#N/A</v>
      </c>
      <c r="I54" s="288" t="e">
        <f>'Solution  2, (hidden)'!D45</f>
        <v>#N/A</v>
      </c>
      <c r="J54" s="288" t="e">
        <f>'Solution 1, (hidden)'!K45</f>
        <v>#N/A</v>
      </c>
      <c r="K54" s="288" t="e">
        <f>'Solution  2, (hidden)'!K45</f>
        <v>#N/A</v>
      </c>
      <c r="L54" s="287" t="e">
        <f>'Solution 1, (hidden) (2)'!K45</f>
        <v>#N/A</v>
      </c>
      <c r="M54" s="287" t="e">
        <f>'Solution  2, (hidden) (2)'!K45</f>
        <v>#N/A</v>
      </c>
    </row>
    <row r="55" spans="3:13" x14ac:dyDescent="0.25">
      <c r="C55" s="285" t="str">
        <f>'Solution 1, (hidden)'!B46</f>
        <v xml:space="preserve"> </v>
      </c>
      <c r="D55" s="285" t="str">
        <f>'Solution  2, (hidden)'!B46</f>
        <v xml:space="preserve"> </v>
      </c>
      <c r="E55" s="285" t="str">
        <f>IF('2. Inputs and results'!$C$21&gt;='2. Inputs and results'!$B$21,'Solution  2, (hidden)'!B46,'Solution 1, (hidden)'!B46)</f>
        <v xml:space="preserve"> </v>
      </c>
      <c r="F55" s="290" t="e">
        <f>'Solution 1, (hidden)'!L46</f>
        <v>#N/A</v>
      </c>
      <c r="G55" s="290" t="e">
        <f>'Solution  2, (hidden)'!L46</f>
        <v>#N/A</v>
      </c>
      <c r="H55" s="288" t="e">
        <f>'Solution 1, (hidden)'!D46</f>
        <v>#N/A</v>
      </c>
      <c r="I55" s="288" t="e">
        <f>'Solution  2, (hidden)'!D46</f>
        <v>#N/A</v>
      </c>
      <c r="J55" s="288" t="e">
        <f>'Solution 1, (hidden)'!K46</f>
        <v>#N/A</v>
      </c>
      <c r="K55" s="288" t="e">
        <f>'Solution  2, (hidden)'!K46</f>
        <v>#N/A</v>
      </c>
      <c r="L55" s="287" t="e">
        <f>'Solution 1, (hidden) (2)'!K46</f>
        <v>#N/A</v>
      </c>
      <c r="M55" s="287" t="e">
        <f>'Solution  2, (hidden) (2)'!K46</f>
        <v>#N/A</v>
      </c>
    </row>
    <row r="56" spans="3:13" x14ac:dyDescent="0.25">
      <c r="C56" s="285" t="str">
        <f>'Solution 1, (hidden)'!B47</f>
        <v xml:space="preserve"> </v>
      </c>
      <c r="D56" s="285" t="str">
        <f>'Solution  2, (hidden)'!B47</f>
        <v xml:space="preserve"> </v>
      </c>
      <c r="E56" s="285" t="str">
        <f>IF('2. Inputs and results'!$C$21&gt;='2. Inputs and results'!$B$21,'Solution  2, (hidden)'!B47,'Solution 1, (hidden)'!B47)</f>
        <v xml:space="preserve"> </v>
      </c>
      <c r="F56" s="290" t="e">
        <f>'Solution 1, (hidden)'!L47</f>
        <v>#N/A</v>
      </c>
      <c r="G56" s="290" t="e">
        <f>'Solution  2, (hidden)'!L47</f>
        <v>#N/A</v>
      </c>
      <c r="H56" s="288" t="e">
        <f>'Solution 1, (hidden)'!D47</f>
        <v>#N/A</v>
      </c>
      <c r="I56" s="288" t="e">
        <f>'Solution  2, (hidden)'!D47</f>
        <v>#N/A</v>
      </c>
      <c r="J56" s="288" t="e">
        <f>'Solution 1, (hidden)'!K47</f>
        <v>#N/A</v>
      </c>
      <c r="K56" s="288" t="e">
        <f>'Solution  2, (hidden)'!K47</f>
        <v>#N/A</v>
      </c>
      <c r="L56" s="287" t="e">
        <f>'Solution 1, (hidden) (2)'!K47</f>
        <v>#N/A</v>
      </c>
      <c r="M56" s="287" t="e">
        <f>'Solution  2, (hidden) (2)'!K47</f>
        <v>#N/A</v>
      </c>
    </row>
    <row r="57" spans="3:13" x14ac:dyDescent="0.25">
      <c r="C57" s="285" t="str">
        <f>'Solution 1, (hidden)'!B48</f>
        <v xml:space="preserve"> </v>
      </c>
      <c r="D57" s="285" t="str">
        <f>'Solution  2, (hidden)'!B48</f>
        <v xml:space="preserve"> </v>
      </c>
      <c r="E57" s="285" t="str">
        <f>IF('2. Inputs and results'!$C$21&gt;='2. Inputs and results'!$B$21,'Solution  2, (hidden)'!B48,'Solution 1, (hidden)'!B48)</f>
        <v xml:space="preserve"> </v>
      </c>
      <c r="F57" s="290" t="e">
        <f>'Solution 1, (hidden)'!L48</f>
        <v>#N/A</v>
      </c>
      <c r="G57" s="290" t="e">
        <f>'Solution  2, (hidden)'!L48</f>
        <v>#N/A</v>
      </c>
      <c r="H57" s="288" t="e">
        <f>'Solution 1, (hidden)'!D48</f>
        <v>#N/A</v>
      </c>
      <c r="I57" s="288" t="e">
        <f>'Solution  2, (hidden)'!D48</f>
        <v>#N/A</v>
      </c>
      <c r="J57" s="288" t="e">
        <f>'Solution 1, (hidden)'!K48</f>
        <v>#N/A</v>
      </c>
      <c r="K57" s="288" t="e">
        <f>'Solution  2, (hidden)'!K48</f>
        <v>#N/A</v>
      </c>
      <c r="L57" s="287" t="e">
        <f>'Solution 1, (hidden) (2)'!K48</f>
        <v>#N/A</v>
      </c>
      <c r="M57" s="287" t="e">
        <f>'Solution  2, (hidden) (2)'!K48</f>
        <v>#N/A</v>
      </c>
    </row>
    <row r="58" spans="3:13" x14ac:dyDescent="0.25">
      <c r="C58" s="285" t="str">
        <f>'Solution 1, (hidden)'!B49</f>
        <v xml:space="preserve"> </v>
      </c>
      <c r="D58" s="285" t="str">
        <f>'Solution  2, (hidden)'!B49</f>
        <v xml:space="preserve"> </v>
      </c>
      <c r="E58" s="285" t="str">
        <f>IF('2. Inputs and results'!$C$21&gt;='2. Inputs and results'!$B$21,'Solution  2, (hidden)'!B49,'Solution 1, (hidden)'!B49)</f>
        <v xml:space="preserve"> </v>
      </c>
      <c r="F58" s="290" t="e">
        <f>'Solution 1, (hidden)'!L49</f>
        <v>#N/A</v>
      </c>
      <c r="G58" s="290" t="e">
        <f>'Solution  2, (hidden)'!L49</f>
        <v>#N/A</v>
      </c>
      <c r="H58" s="288" t="e">
        <f>'Solution 1, (hidden)'!D49</f>
        <v>#N/A</v>
      </c>
      <c r="I58" s="288" t="e">
        <f>'Solution  2, (hidden)'!D49</f>
        <v>#N/A</v>
      </c>
      <c r="J58" s="288" t="e">
        <f>'Solution 1, (hidden)'!K49</f>
        <v>#N/A</v>
      </c>
      <c r="K58" s="288" t="e">
        <f>'Solution  2, (hidden)'!K49</f>
        <v>#N/A</v>
      </c>
      <c r="L58" s="287" t="e">
        <f>'Solution 1, (hidden) (2)'!K49</f>
        <v>#N/A</v>
      </c>
      <c r="M58" s="287" t="e">
        <f>'Solution  2, (hidden) (2)'!K49</f>
        <v>#N/A</v>
      </c>
    </row>
    <row r="59" spans="3:13" x14ac:dyDescent="0.25">
      <c r="C59" s="285" t="str">
        <f>'Solution 1, (hidden)'!B50</f>
        <v xml:space="preserve"> </v>
      </c>
      <c r="D59" s="285" t="str">
        <f>'Solution  2, (hidden)'!B50</f>
        <v xml:space="preserve"> </v>
      </c>
      <c r="E59" s="285" t="str">
        <f>IF('2. Inputs and results'!$C$21&gt;='2. Inputs and results'!$B$21,'Solution  2, (hidden)'!B50,'Solution 1, (hidden)'!B50)</f>
        <v xml:space="preserve"> </v>
      </c>
      <c r="F59" s="290" t="e">
        <f>'Solution 1, (hidden)'!L50</f>
        <v>#N/A</v>
      </c>
      <c r="G59" s="290" t="e">
        <f>'Solution  2, (hidden)'!L50</f>
        <v>#N/A</v>
      </c>
      <c r="H59" s="288" t="e">
        <f>'Solution 1, (hidden)'!D50</f>
        <v>#N/A</v>
      </c>
      <c r="I59" s="288" t="e">
        <f>'Solution  2, (hidden)'!D50</f>
        <v>#N/A</v>
      </c>
      <c r="J59" s="288" t="e">
        <f>'Solution 1, (hidden)'!K50</f>
        <v>#N/A</v>
      </c>
      <c r="K59" s="288" t="e">
        <f>'Solution  2, (hidden)'!K50</f>
        <v>#N/A</v>
      </c>
      <c r="L59" s="287" t="e">
        <f>'Solution 1, (hidden) (2)'!K50</f>
        <v>#N/A</v>
      </c>
      <c r="M59" s="287" t="e">
        <f>'Solution  2, (hidden) (2)'!K50</f>
        <v>#N/A</v>
      </c>
    </row>
    <row r="60" spans="3:13" x14ac:dyDescent="0.25">
      <c r="C60" s="285" t="str">
        <f>'Solution 1, (hidden)'!B51</f>
        <v xml:space="preserve"> </v>
      </c>
      <c r="D60" s="285" t="str">
        <f>'Solution  2, (hidden)'!B51</f>
        <v xml:space="preserve"> </v>
      </c>
      <c r="E60" s="285" t="str">
        <f>IF('2. Inputs and results'!$C$21&gt;='2. Inputs and results'!$B$21,'Solution  2, (hidden)'!B51,'Solution 1, (hidden)'!B51)</f>
        <v xml:space="preserve"> </v>
      </c>
      <c r="F60" s="290" t="e">
        <f>'Solution 1, (hidden)'!L51</f>
        <v>#N/A</v>
      </c>
      <c r="G60" s="290" t="e">
        <f>'Solution  2, (hidden)'!L51</f>
        <v>#N/A</v>
      </c>
      <c r="H60" s="288" t="e">
        <f>'Solution 1, (hidden)'!D51</f>
        <v>#N/A</v>
      </c>
      <c r="I60" s="288" t="e">
        <f>'Solution  2, (hidden)'!D51</f>
        <v>#N/A</v>
      </c>
      <c r="J60" s="288" t="e">
        <f>'Solution 1, (hidden)'!K51</f>
        <v>#N/A</v>
      </c>
      <c r="K60" s="288" t="e">
        <f>'Solution  2, (hidden)'!K51</f>
        <v>#N/A</v>
      </c>
      <c r="L60" s="287" t="e">
        <f>'Solution 1, (hidden) (2)'!K51</f>
        <v>#N/A</v>
      </c>
      <c r="M60" s="287" t="e">
        <f>'Solution  2, (hidden) (2)'!K51</f>
        <v>#N/A</v>
      </c>
    </row>
    <row r="61" spans="3:13" x14ac:dyDescent="0.25">
      <c r="C61" s="285" t="str">
        <f>'Solution 1, (hidden)'!B52</f>
        <v xml:space="preserve"> </v>
      </c>
      <c r="D61" s="285" t="str">
        <f>'Solution  2, (hidden)'!B52</f>
        <v xml:space="preserve"> </v>
      </c>
      <c r="E61" s="285" t="str">
        <f>IF('2. Inputs and results'!$C$21&gt;='2. Inputs and results'!$B$21,'Solution  2, (hidden)'!B52,'Solution 1, (hidden)'!B52)</f>
        <v xml:space="preserve"> </v>
      </c>
      <c r="F61" s="290" t="e">
        <f>'Solution 1, (hidden)'!L52</f>
        <v>#N/A</v>
      </c>
      <c r="G61" s="290" t="e">
        <f>'Solution  2, (hidden)'!L52</f>
        <v>#N/A</v>
      </c>
      <c r="H61" s="288" t="e">
        <f>'Solution 1, (hidden)'!D52</f>
        <v>#N/A</v>
      </c>
      <c r="I61" s="288" t="e">
        <f>'Solution  2, (hidden)'!D52</f>
        <v>#N/A</v>
      </c>
      <c r="J61" s="288" t="e">
        <f>'Solution 1, (hidden)'!K52</f>
        <v>#N/A</v>
      </c>
      <c r="K61" s="288" t="e">
        <f>'Solution  2, (hidden)'!K52</f>
        <v>#N/A</v>
      </c>
      <c r="L61" s="287" t="e">
        <f>'Solution 1, (hidden) (2)'!K52</f>
        <v>#N/A</v>
      </c>
      <c r="M61" s="287" t="e">
        <f>'Solution  2, (hidden) (2)'!K52</f>
        <v>#N/A</v>
      </c>
    </row>
    <row r="62" spans="3:13" x14ac:dyDescent="0.25">
      <c r="C62" s="285" t="str">
        <f>'Solution 1, (hidden)'!B53</f>
        <v xml:space="preserve"> </v>
      </c>
      <c r="D62" s="285" t="str">
        <f>'Solution  2, (hidden)'!B53</f>
        <v xml:space="preserve"> </v>
      </c>
      <c r="E62" s="285" t="str">
        <f>IF('2. Inputs and results'!$C$21&gt;='2. Inputs and results'!$B$21,'Solution  2, (hidden)'!B53,'Solution 1, (hidden)'!B53)</f>
        <v xml:space="preserve"> </v>
      </c>
      <c r="F62" s="290" t="e">
        <f>'Solution 1, (hidden)'!L53</f>
        <v>#N/A</v>
      </c>
      <c r="G62" s="290" t="e">
        <f>'Solution  2, (hidden)'!L53</f>
        <v>#N/A</v>
      </c>
      <c r="H62" s="288" t="e">
        <f>'Solution 1, (hidden)'!D53</f>
        <v>#N/A</v>
      </c>
      <c r="I62" s="288" t="e">
        <f>'Solution  2, (hidden)'!D53</f>
        <v>#N/A</v>
      </c>
      <c r="J62" s="288" t="e">
        <f>'Solution 1, (hidden)'!K53</f>
        <v>#N/A</v>
      </c>
      <c r="K62" s="288" t="e">
        <f>'Solution  2, (hidden)'!K53</f>
        <v>#N/A</v>
      </c>
      <c r="L62" s="287" t="e">
        <f>'Solution 1, (hidden) (2)'!K53</f>
        <v>#N/A</v>
      </c>
      <c r="M62" s="287" t="e">
        <f>'Solution  2, (hidden) (2)'!K53</f>
        <v>#N/A</v>
      </c>
    </row>
    <row r="63" spans="3:13" x14ac:dyDescent="0.25">
      <c r="C63" s="285" t="str">
        <f>'Solution 1, (hidden)'!B54</f>
        <v xml:space="preserve"> </v>
      </c>
      <c r="D63" s="285" t="str">
        <f>'Solution  2, (hidden)'!B54</f>
        <v xml:space="preserve"> </v>
      </c>
      <c r="E63" s="285" t="str">
        <f>IF('2. Inputs and results'!$C$21&gt;='2. Inputs and results'!$B$21,'Solution  2, (hidden)'!B54,'Solution 1, (hidden)'!B54)</f>
        <v xml:space="preserve"> </v>
      </c>
      <c r="F63" s="290" t="e">
        <f>'Solution 1, (hidden)'!L54</f>
        <v>#N/A</v>
      </c>
      <c r="G63" s="290" t="e">
        <f>'Solution  2, (hidden)'!L54</f>
        <v>#N/A</v>
      </c>
      <c r="H63" s="288" t="e">
        <f>'Solution 1, (hidden)'!D54</f>
        <v>#N/A</v>
      </c>
      <c r="I63" s="288" t="e">
        <f>'Solution  2, (hidden)'!D54</f>
        <v>#N/A</v>
      </c>
      <c r="J63" s="288" t="e">
        <f>'Solution 1, (hidden)'!K54</f>
        <v>#N/A</v>
      </c>
      <c r="K63" s="288" t="e">
        <f>'Solution  2, (hidden)'!K54</f>
        <v>#N/A</v>
      </c>
      <c r="L63" s="287" t="e">
        <f>'Solution 1, (hidden) (2)'!K54</f>
        <v>#N/A</v>
      </c>
      <c r="M63" s="287" t="e">
        <f>'Solution  2, (hidden) (2)'!K54</f>
        <v>#N/A</v>
      </c>
    </row>
    <row r="64" spans="3:13" x14ac:dyDescent="0.25">
      <c r="C64" s="285" t="str">
        <f>'Solution 1, (hidden)'!B55</f>
        <v xml:space="preserve"> </v>
      </c>
      <c r="D64" s="285" t="str">
        <f>'Solution  2, (hidden)'!B55</f>
        <v xml:space="preserve"> </v>
      </c>
      <c r="E64" s="285" t="str">
        <f>'Solution  2, (hidden)'!B55</f>
        <v xml:space="preserve"> </v>
      </c>
      <c r="F64" s="290" t="e">
        <f>'Solution 1, (hidden)'!L55</f>
        <v>#N/A</v>
      </c>
      <c r="G64" s="290" t="e">
        <f>'Solution  2, (hidden)'!L55</f>
        <v>#N/A</v>
      </c>
      <c r="H64" s="288" t="e">
        <f>'Solution 1, (hidden)'!D55</f>
        <v>#N/A</v>
      </c>
      <c r="I64" s="288" t="e">
        <f>'Solution  2, (hidden)'!D55</f>
        <v>#N/A</v>
      </c>
      <c r="J64" s="288" t="e">
        <f>'Solution 1, (hidden)'!K55</f>
        <v>#N/A</v>
      </c>
      <c r="K64" s="288" t="e">
        <f>'Solution  2, (hidden)'!K55</f>
        <v>#N/A</v>
      </c>
      <c r="L64" s="287" t="e">
        <f>'Solution 1, (hidden) (2)'!K55</f>
        <v>#N/A</v>
      </c>
      <c r="M64" s="287" t="e">
        <f>'Solution  2, (hidden) (2)'!K55</f>
        <v>#N/A</v>
      </c>
    </row>
    <row r="65" spans="6:11" x14ac:dyDescent="0.25">
      <c r="F65" s="30"/>
      <c r="G65" s="30"/>
      <c r="H65" s="30"/>
      <c r="I65" s="30"/>
      <c r="J65" s="30"/>
      <c r="K65" s="30"/>
    </row>
    <row r="66" spans="6:11" x14ac:dyDescent="0.25">
      <c r="F66" s="30"/>
      <c r="G66" s="30"/>
      <c r="H66" s="30"/>
      <c r="I66" s="30"/>
      <c r="J66" s="30"/>
      <c r="K66" s="30"/>
    </row>
    <row r="67" spans="6:11" x14ac:dyDescent="0.25">
      <c r="F67" s="30"/>
      <c r="G67" s="30"/>
      <c r="H67" s="30"/>
      <c r="I67" s="30"/>
      <c r="J67" s="30"/>
      <c r="K67" s="30"/>
    </row>
    <row r="68" spans="6:11" x14ac:dyDescent="0.25">
      <c r="F68" s="30"/>
      <c r="G68" s="30"/>
      <c r="H68" s="30"/>
      <c r="I68" s="30"/>
      <c r="J68" s="30"/>
      <c r="K68" s="30"/>
    </row>
    <row r="69" spans="6:11" x14ac:dyDescent="0.25">
      <c r="F69" s="30"/>
      <c r="G69" s="30"/>
      <c r="H69" s="30"/>
      <c r="I69" s="30"/>
      <c r="J69" s="30"/>
      <c r="K69" s="30"/>
    </row>
    <row r="70" spans="6:11" x14ac:dyDescent="0.25">
      <c r="F70" s="30"/>
      <c r="G70" s="30"/>
      <c r="H70" s="30"/>
      <c r="I70" s="30"/>
      <c r="J70" s="30"/>
      <c r="K70" s="30"/>
    </row>
    <row r="71" spans="6:11" x14ac:dyDescent="0.25">
      <c r="F71" s="30"/>
      <c r="G71" s="30"/>
      <c r="H71" s="30"/>
      <c r="I71" s="30"/>
      <c r="J71" s="30"/>
      <c r="K71" s="30"/>
    </row>
  </sheetData>
  <sheetProtection sheet="1" objects="1" scenarios="1"/>
  <conditionalFormatting sqref="F14:K64">
    <cfRule type="containsErrors" dxfId="27" priority="3">
      <formula>ISERROR(F14)</formula>
    </cfRule>
  </conditionalFormatting>
  <conditionalFormatting sqref="L12:M1048576 L2:M10">
    <cfRule type="containsErrors" dxfId="26" priority="2">
      <formula>ISERROR(L2)</formula>
    </cfRule>
  </conditionalFormatting>
  <conditionalFormatting sqref="F14:M64">
    <cfRule type="cellIs" dxfId="25" priority="1" operator="lessThan">
      <formula>0</formula>
    </cfRule>
  </conditionalFormatting>
  <pageMargins left="0.7" right="0.7" top="0.75" bottom="0.75" header="0.3" footer="0.3"/>
  <pageSetup paperSize="9" scale="3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pageSetUpPr fitToPage="1"/>
  </sheetPr>
  <dimension ref="A1:G63"/>
  <sheetViews>
    <sheetView topLeftCell="A22" zoomScaleNormal="100" workbookViewId="0">
      <selection activeCell="G5" sqref="G5"/>
    </sheetView>
  </sheetViews>
  <sheetFormatPr defaultRowHeight="15" x14ac:dyDescent="0.25"/>
  <cols>
    <col min="1" max="1" width="36.7109375" customWidth="1"/>
    <col min="2" max="2" width="36.28515625" customWidth="1"/>
    <col min="3" max="3" width="11.7109375" customWidth="1"/>
    <col min="4" max="4" width="10.85546875" customWidth="1"/>
    <col min="5" max="5" width="7.42578125" customWidth="1"/>
    <col min="6" max="6" width="35.85546875" customWidth="1"/>
    <col min="7" max="7" width="28.7109375" customWidth="1"/>
  </cols>
  <sheetData>
    <row r="1" spans="1:7" s="39" customFormat="1" ht="80.25" customHeight="1" thickBot="1" x14ac:dyDescent="0.45">
      <c r="D1" s="306" t="s">
        <v>306</v>
      </c>
    </row>
    <row r="2" spans="1:7" s="39" customFormat="1" ht="15.75" thickBot="1" x14ac:dyDescent="0.3">
      <c r="A2" s="279" t="s">
        <v>150</v>
      </c>
      <c r="B2" s="61" t="str">
        <f>'2. Inputs and results'!B5</f>
        <v>Building</v>
      </c>
    </row>
    <row r="3" spans="1:7" s="39" customFormat="1" ht="15.75" thickBot="1" x14ac:dyDescent="0.3">
      <c r="A3" s="282"/>
      <c r="B3" s="284"/>
    </row>
    <row r="4" spans="1:7" s="39" customFormat="1" ht="13.5" customHeight="1" thickBot="1" x14ac:dyDescent="0.3">
      <c r="A4" s="282" t="s">
        <v>139</v>
      </c>
      <c r="B4" s="283" t="str">
        <f>'2. Inputs and results'!B6</f>
        <v>Housing/ Residential building</v>
      </c>
    </row>
    <row r="5" spans="1:7" s="39" customFormat="1" ht="15.75" thickBot="1" x14ac:dyDescent="0.3">
      <c r="A5" s="282"/>
      <c r="B5" s="284"/>
    </row>
    <row r="6" spans="1:7" s="39" customFormat="1" ht="15.75" thickBot="1" x14ac:dyDescent="0.3">
      <c r="A6" s="282" t="s">
        <v>54</v>
      </c>
      <c r="B6" s="283" t="str">
        <f>'2. Inputs and results'!B8</f>
        <v>District heating</v>
      </c>
    </row>
    <row r="7" spans="1:7" s="39" customFormat="1" ht="15.75" thickBot="1" x14ac:dyDescent="0.3">
      <c r="A7" s="282" t="s">
        <v>93</v>
      </c>
      <c r="B7" s="283" t="str">
        <f>'2. Inputs and results'!B9</f>
        <v>Other</v>
      </c>
    </row>
    <row r="8" spans="1:7" s="39" customFormat="1" ht="15.75" thickBot="1" x14ac:dyDescent="0.3">
      <c r="A8" s="281" t="s">
        <v>104</v>
      </c>
      <c r="B8" s="63" t="str">
        <f>'2. Inputs and results'!B10</f>
        <v>None</v>
      </c>
    </row>
    <row r="9" spans="1:7" s="39" customFormat="1" x14ac:dyDescent="0.25"/>
    <row r="10" spans="1:7" s="39" customFormat="1" x14ac:dyDescent="0.25"/>
    <row r="11" spans="1:7" x14ac:dyDescent="0.25">
      <c r="C11" s="285"/>
      <c r="D11" s="285"/>
      <c r="E11" s="285"/>
      <c r="F11" s="286" t="s">
        <v>126</v>
      </c>
      <c r="G11" s="286" t="s">
        <v>127</v>
      </c>
    </row>
    <row r="12" spans="1:7" x14ac:dyDescent="0.25">
      <c r="C12" s="286" t="s">
        <v>124</v>
      </c>
      <c r="D12" s="286" t="s">
        <v>125</v>
      </c>
      <c r="E12" s="286" t="str">
        <f>'6. Pay back time'!E12</f>
        <v>Year</v>
      </c>
      <c r="F12" s="286" t="str">
        <f>'2. Inputs and results'!B19</f>
        <v xml:space="preserve">Ventilation system with heat recovery </v>
      </c>
      <c r="G12" s="286" t="str">
        <f>'2. Inputs and results'!C19</f>
        <v>Geothermal heat pump system</v>
      </c>
    </row>
    <row r="13" spans="1:7" x14ac:dyDescent="0.25">
      <c r="C13" s="285">
        <f>'Solution 1, (hidden)'!B5</f>
        <v>0</v>
      </c>
      <c r="D13" s="285">
        <f>'Solution  2, (hidden)'!B5</f>
        <v>0</v>
      </c>
      <c r="E13" s="285">
        <f>IF('2. Inputs and results'!$C$21&gt;='2. Inputs and results'!$B$21,'Solution  2, (hidden)'!B5,'Solution 1, (hidden)'!B5)</f>
        <v>0</v>
      </c>
      <c r="F13" s="285">
        <f>'Solution 1, (hidden)'!AF5</f>
        <v>0</v>
      </c>
      <c r="G13" s="285">
        <f>'Solution  2, (hidden)'!AF5</f>
        <v>0</v>
      </c>
    </row>
    <row r="14" spans="1:7" x14ac:dyDescent="0.25">
      <c r="C14" s="285">
        <f>'Solution 1, (hidden)'!B6</f>
        <v>1</v>
      </c>
      <c r="D14" s="285">
        <f>'Solution  2, (hidden)'!B6</f>
        <v>1</v>
      </c>
      <c r="E14" s="285">
        <f>IF('2. Inputs and results'!$C$21&gt;='2. Inputs and results'!$B$21,'Solution  2, (hidden)'!B6,'Solution 1, (hidden)'!B6)</f>
        <v>1</v>
      </c>
      <c r="F14" s="291">
        <f>'Solution 1, (hidden)'!AF6</f>
        <v>-20.399999999999999</v>
      </c>
      <c r="G14" s="285">
        <f>'Solution  2, (hidden)'!AF6</f>
        <v>-46</v>
      </c>
    </row>
    <row r="15" spans="1:7" x14ac:dyDescent="0.25">
      <c r="C15" s="285">
        <f>'Solution 1, (hidden)'!B7</f>
        <v>2</v>
      </c>
      <c r="D15" s="285">
        <f>'Solution  2, (hidden)'!B7</f>
        <v>2</v>
      </c>
      <c r="E15" s="285">
        <f>IF('2. Inputs and results'!$C$21&gt;='2. Inputs and results'!$B$21,'Solution  2, (hidden)'!B7,'Solution 1, (hidden)'!B7)</f>
        <v>2</v>
      </c>
      <c r="F15" s="291">
        <f>'Solution 1, (hidden)'!AF7</f>
        <v>-40.799999999999997</v>
      </c>
      <c r="G15" s="285">
        <f>'Solution  2, (hidden)'!AF7</f>
        <v>-92</v>
      </c>
    </row>
    <row r="16" spans="1:7" x14ac:dyDescent="0.25">
      <c r="C16" s="285">
        <f>'Solution 1, (hidden)'!B8</f>
        <v>3</v>
      </c>
      <c r="D16" s="285">
        <f>'Solution  2, (hidden)'!B8</f>
        <v>3</v>
      </c>
      <c r="E16" s="285">
        <f>IF('2. Inputs and results'!$C$21&gt;='2. Inputs and results'!$B$21,'Solution  2, (hidden)'!B8,'Solution 1, (hidden)'!B8)</f>
        <v>3</v>
      </c>
      <c r="F16" s="291">
        <f>'Solution 1, (hidden)'!AF8</f>
        <v>-61.2</v>
      </c>
      <c r="G16" s="285">
        <f>'Solution  2, (hidden)'!AF8</f>
        <v>-138</v>
      </c>
    </row>
    <row r="17" spans="3:7" x14ac:dyDescent="0.25">
      <c r="C17" s="285">
        <f>'Solution 1, (hidden)'!B9</f>
        <v>4</v>
      </c>
      <c r="D17" s="285">
        <f>'Solution  2, (hidden)'!B9</f>
        <v>4</v>
      </c>
      <c r="E17" s="285">
        <f>IF('2. Inputs and results'!$C$21&gt;='2. Inputs and results'!$B$21,'Solution  2, (hidden)'!B9,'Solution 1, (hidden)'!B9)</f>
        <v>4</v>
      </c>
      <c r="F17" s="291">
        <f>'Solution 1, (hidden)'!AF9</f>
        <v>-81.599999999999994</v>
      </c>
      <c r="G17" s="285">
        <f>'Solution  2, (hidden)'!AF9</f>
        <v>-184</v>
      </c>
    </row>
    <row r="18" spans="3:7" x14ac:dyDescent="0.25">
      <c r="C18" s="285">
        <f>'Solution 1, (hidden)'!B10</f>
        <v>5</v>
      </c>
      <c r="D18" s="285">
        <f>'Solution  2, (hidden)'!B10</f>
        <v>5</v>
      </c>
      <c r="E18" s="285">
        <f>IF('2. Inputs and results'!$C$21&gt;='2. Inputs and results'!$B$21,'Solution  2, (hidden)'!B10,'Solution 1, (hidden)'!B10)</f>
        <v>5</v>
      </c>
      <c r="F18" s="291">
        <f>'Solution 1, (hidden)'!AF10</f>
        <v>-102</v>
      </c>
      <c r="G18" s="285">
        <f>'Solution  2, (hidden)'!AF10</f>
        <v>-230</v>
      </c>
    </row>
    <row r="19" spans="3:7" x14ac:dyDescent="0.25">
      <c r="C19" s="285">
        <f>'Solution 1, (hidden)'!B11</f>
        <v>6</v>
      </c>
      <c r="D19" s="285">
        <f>'Solution  2, (hidden)'!B11</f>
        <v>6</v>
      </c>
      <c r="E19" s="285">
        <f>IF('2. Inputs and results'!$C$21&gt;='2. Inputs and results'!$B$21,'Solution  2, (hidden)'!B11,'Solution 1, (hidden)'!B11)</f>
        <v>6</v>
      </c>
      <c r="F19" s="291">
        <f>'Solution 1, (hidden)'!AF11</f>
        <v>-122.4</v>
      </c>
      <c r="G19" s="285">
        <f>'Solution  2, (hidden)'!AF11</f>
        <v>-276</v>
      </c>
    </row>
    <row r="20" spans="3:7" x14ac:dyDescent="0.25">
      <c r="C20" s="285">
        <f>'Solution 1, (hidden)'!B12</f>
        <v>7</v>
      </c>
      <c r="D20" s="285">
        <f>'Solution  2, (hidden)'!B12</f>
        <v>7</v>
      </c>
      <c r="E20" s="285">
        <f>IF('2. Inputs and results'!$C$21&gt;='2. Inputs and results'!$B$21,'Solution  2, (hidden)'!B12,'Solution 1, (hidden)'!B12)</f>
        <v>7</v>
      </c>
      <c r="F20" s="291">
        <f>'Solution 1, (hidden)'!AF12</f>
        <v>-142.80000000000001</v>
      </c>
      <c r="G20" s="285">
        <f>'Solution  2, (hidden)'!AF12</f>
        <v>-322</v>
      </c>
    </row>
    <row r="21" spans="3:7" x14ac:dyDescent="0.25">
      <c r="C21" s="285">
        <f>'Solution 1, (hidden)'!B13</f>
        <v>8</v>
      </c>
      <c r="D21" s="285">
        <f>'Solution  2, (hidden)'!B13</f>
        <v>8</v>
      </c>
      <c r="E21" s="285">
        <f>IF('2. Inputs and results'!$C$21&gt;='2. Inputs and results'!$B$21,'Solution  2, (hidden)'!B13,'Solution 1, (hidden)'!B13)</f>
        <v>8</v>
      </c>
      <c r="F21" s="291">
        <f>'Solution 1, (hidden)'!AF13</f>
        <v>-163.19999999999999</v>
      </c>
      <c r="G21" s="285">
        <f>'Solution  2, (hidden)'!AF13</f>
        <v>-368</v>
      </c>
    </row>
    <row r="22" spans="3:7" x14ac:dyDescent="0.25">
      <c r="C22" s="285">
        <f>'Solution 1, (hidden)'!B14</f>
        <v>9</v>
      </c>
      <c r="D22" s="285">
        <f>'Solution  2, (hidden)'!B14</f>
        <v>9</v>
      </c>
      <c r="E22" s="285">
        <f>IF('2. Inputs and results'!$C$21&gt;='2. Inputs and results'!$B$21,'Solution  2, (hidden)'!B14,'Solution 1, (hidden)'!B14)</f>
        <v>9</v>
      </c>
      <c r="F22" s="291">
        <f>'Solution 1, (hidden)'!AF14</f>
        <v>-183.6</v>
      </c>
      <c r="G22" s="285">
        <f>'Solution  2, (hidden)'!AF14</f>
        <v>-414</v>
      </c>
    </row>
    <row r="23" spans="3:7" x14ac:dyDescent="0.25">
      <c r="C23" s="285">
        <f>'Solution 1, (hidden)'!B15</f>
        <v>10</v>
      </c>
      <c r="D23" s="285">
        <f>'Solution  2, (hidden)'!B15</f>
        <v>10</v>
      </c>
      <c r="E23" s="285">
        <f>IF('2. Inputs and results'!$C$21&gt;='2. Inputs and results'!$B$21,'Solution  2, (hidden)'!B15,'Solution 1, (hidden)'!B15)</f>
        <v>10</v>
      </c>
      <c r="F23" s="291">
        <f>'Solution 1, (hidden)'!AF15</f>
        <v>-204</v>
      </c>
      <c r="G23" s="285">
        <f>'Solution  2, (hidden)'!AF15</f>
        <v>-460</v>
      </c>
    </row>
    <row r="24" spans="3:7" x14ac:dyDescent="0.25">
      <c r="C24" s="285">
        <f>'Solution 1, (hidden)'!B16</f>
        <v>11</v>
      </c>
      <c r="D24" s="285">
        <f>'Solution  2, (hidden)'!B16</f>
        <v>11</v>
      </c>
      <c r="E24" s="285">
        <f>IF('2. Inputs and results'!$C$21&gt;='2. Inputs and results'!$B$21,'Solution  2, (hidden)'!B16,'Solution 1, (hidden)'!B16)</f>
        <v>11</v>
      </c>
      <c r="F24" s="291">
        <f>'Solution 1, (hidden)'!AF16</f>
        <v>-224.4</v>
      </c>
      <c r="G24" s="285">
        <f>'Solution  2, (hidden)'!AF16</f>
        <v>-506</v>
      </c>
    </row>
    <row r="25" spans="3:7" x14ac:dyDescent="0.25">
      <c r="C25" s="285">
        <f>'Solution 1, (hidden)'!B17</f>
        <v>12</v>
      </c>
      <c r="D25" s="285">
        <f>'Solution  2, (hidden)'!B17</f>
        <v>12</v>
      </c>
      <c r="E25" s="285">
        <f>IF('2. Inputs and results'!$C$21&gt;='2. Inputs and results'!$B$21,'Solution  2, (hidden)'!B17,'Solution 1, (hidden)'!B17)</f>
        <v>12</v>
      </c>
      <c r="F25" s="291">
        <f>'Solution 1, (hidden)'!AF17</f>
        <v>-244.8</v>
      </c>
      <c r="G25" s="285">
        <f>'Solution  2, (hidden)'!AF17</f>
        <v>-552</v>
      </c>
    </row>
    <row r="26" spans="3:7" x14ac:dyDescent="0.25">
      <c r="C26" s="285">
        <f>'Solution 1, (hidden)'!B18</f>
        <v>13</v>
      </c>
      <c r="D26" s="285">
        <f>'Solution  2, (hidden)'!B18</f>
        <v>13</v>
      </c>
      <c r="E26" s="285">
        <f>IF('2. Inputs and results'!$C$21&gt;='2. Inputs and results'!$B$21,'Solution  2, (hidden)'!B18,'Solution 1, (hidden)'!B18)</f>
        <v>13</v>
      </c>
      <c r="F26" s="291">
        <f>'Solution 1, (hidden)'!AF18</f>
        <v>-265.2</v>
      </c>
      <c r="G26" s="285">
        <f>'Solution  2, (hidden)'!AF18</f>
        <v>-598</v>
      </c>
    </row>
    <row r="27" spans="3:7" x14ac:dyDescent="0.25">
      <c r="C27" s="285">
        <f>'Solution 1, (hidden)'!B19</f>
        <v>14</v>
      </c>
      <c r="D27" s="285">
        <f>'Solution  2, (hidden)'!B19</f>
        <v>14</v>
      </c>
      <c r="E27" s="285">
        <f>IF('2. Inputs and results'!$C$21&gt;='2. Inputs and results'!$B$21,'Solution  2, (hidden)'!B19,'Solution 1, (hidden)'!B19)</f>
        <v>14</v>
      </c>
      <c r="F27" s="291">
        <f>'Solution 1, (hidden)'!AF19</f>
        <v>-285.60000000000002</v>
      </c>
      <c r="G27" s="285">
        <f>'Solution  2, (hidden)'!AF19</f>
        <v>-644</v>
      </c>
    </row>
    <row r="28" spans="3:7" x14ac:dyDescent="0.25">
      <c r="C28" s="285">
        <f>'Solution 1, (hidden)'!B20</f>
        <v>15</v>
      </c>
      <c r="D28" s="285">
        <f>'Solution  2, (hidden)'!B20</f>
        <v>15</v>
      </c>
      <c r="E28" s="285">
        <f>IF('2. Inputs and results'!$C$21&gt;='2. Inputs and results'!$B$21,'Solution  2, (hidden)'!B20,'Solution 1, (hidden)'!B20)</f>
        <v>15</v>
      </c>
      <c r="F28" s="291">
        <f>'Solution 1, (hidden)'!AF20</f>
        <v>-306</v>
      </c>
      <c r="G28" s="285">
        <f>'Solution  2, (hidden)'!AF20</f>
        <v>-690</v>
      </c>
    </row>
    <row r="29" spans="3:7" x14ac:dyDescent="0.25">
      <c r="C29" s="285">
        <f>'Solution 1, (hidden)'!B21</f>
        <v>16</v>
      </c>
      <c r="D29" s="285">
        <f>'Solution  2, (hidden)'!B21</f>
        <v>16</v>
      </c>
      <c r="E29" s="285">
        <f>IF('2. Inputs and results'!$C$21&gt;='2. Inputs and results'!$B$21,'Solution  2, (hidden)'!B21,'Solution 1, (hidden)'!B21)</f>
        <v>16</v>
      </c>
      <c r="F29" s="291">
        <f>'Solution 1, (hidden)'!AF21</f>
        <v>-326.39999999999998</v>
      </c>
      <c r="G29" s="285">
        <f>'Solution  2, (hidden)'!AF21</f>
        <v>-736</v>
      </c>
    </row>
    <row r="30" spans="3:7" x14ac:dyDescent="0.25">
      <c r="C30" s="285">
        <f>'Solution 1, (hidden)'!B22</f>
        <v>17</v>
      </c>
      <c r="D30" s="285">
        <f>'Solution  2, (hidden)'!B22</f>
        <v>17</v>
      </c>
      <c r="E30" s="285">
        <f>IF('2. Inputs and results'!$C$21&gt;='2. Inputs and results'!$B$21,'Solution  2, (hidden)'!B22,'Solution 1, (hidden)'!B22)</f>
        <v>17</v>
      </c>
      <c r="F30" s="291">
        <f>'Solution 1, (hidden)'!AF22</f>
        <v>-346.8</v>
      </c>
      <c r="G30" s="285">
        <f>'Solution  2, (hidden)'!AF22</f>
        <v>-782</v>
      </c>
    </row>
    <row r="31" spans="3:7" x14ac:dyDescent="0.25">
      <c r="C31" s="285">
        <f>'Solution 1, (hidden)'!B23</f>
        <v>18</v>
      </c>
      <c r="D31" s="285">
        <f>'Solution  2, (hidden)'!B23</f>
        <v>18</v>
      </c>
      <c r="E31" s="285">
        <f>IF('2. Inputs and results'!$C$21&gt;='2. Inputs and results'!$B$21,'Solution  2, (hidden)'!B23,'Solution 1, (hidden)'!B23)</f>
        <v>18</v>
      </c>
      <c r="F31" s="291">
        <f>'Solution 1, (hidden)'!AF23</f>
        <v>-367.2</v>
      </c>
      <c r="G31" s="285">
        <f>'Solution  2, (hidden)'!AF23</f>
        <v>-828</v>
      </c>
    </row>
    <row r="32" spans="3:7" x14ac:dyDescent="0.25">
      <c r="C32" s="285">
        <f>'Solution 1, (hidden)'!B24</f>
        <v>19</v>
      </c>
      <c r="D32" s="285">
        <f>'Solution  2, (hidden)'!B24</f>
        <v>19</v>
      </c>
      <c r="E32" s="285">
        <f>IF('2. Inputs and results'!$C$21&gt;='2. Inputs and results'!$B$21,'Solution  2, (hidden)'!B24,'Solution 1, (hidden)'!B24)</f>
        <v>19</v>
      </c>
      <c r="F32" s="291">
        <f>'Solution 1, (hidden)'!AF24</f>
        <v>-387.6</v>
      </c>
      <c r="G32" s="285">
        <f>'Solution  2, (hidden)'!AF24</f>
        <v>-874</v>
      </c>
    </row>
    <row r="33" spans="3:7" x14ac:dyDescent="0.25">
      <c r="C33" s="285">
        <f>'Solution 1, (hidden)'!B25</f>
        <v>20</v>
      </c>
      <c r="D33" s="285">
        <f>'Solution  2, (hidden)'!B25</f>
        <v>20</v>
      </c>
      <c r="E33" s="285">
        <f>IF('2. Inputs and results'!$C$21&gt;='2. Inputs and results'!$B$21,'Solution  2, (hidden)'!B25,'Solution 1, (hidden)'!B25)</f>
        <v>20</v>
      </c>
      <c r="F33" s="291">
        <f>'Solution 1, (hidden)'!AF25</f>
        <v>-408</v>
      </c>
      <c r="G33" s="285">
        <f>'Solution  2, (hidden)'!AF25</f>
        <v>-920</v>
      </c>
    </row>
    <row r="34" spans="3:7" x14ac:dyDescent="0.25">
      <c r="C34" s="285" t="str">
        <f>'Solution 1, (hidden)'!B26</f>
        <v xml:space="preserve"> </v>
      </c>
      <c r="D34" s="285" t="str">
        <f>'Solution  2, (hidden)'!B26</f>
        <v xml:space="preserve"> </v>
      </c>
      <c r="E34" s="285" t="str">
        <f>IF('2. Inputs and results'!$C$21&gt;='2. Inputs and results'!$B$21,'Solution  2, (hidden)'!B26,'Solution 1, (hidden)'!B26)</f>
        <v xml:space="preserve"> </v>
      </c>
      <c r="F34" s="291" t="e">
        <f>'Solution 1, (hidden)'!AF26</f>
        <v>#N/A</v>
      </c>
      <c r="G34" s="285" t="e">
        <f>'Solution  2, (hidden)'!AF26</f>
        <v>#N/A</v>
      </c>
    </row>
    <row r="35" spans="3:7" x14ac:dyDescent="0.25">
      <c r="C35" s="285" t="str">
        <f>'Solution 1, (hidden)'!B27</f>
        <v xml:space="preserve"> </v>
      </c>
      <c r="D35" s="285" t="str">
        <f>'Solution  2, (hidden)'!B27</f>
        <v xml:space="preserve"> </v>
      </c>
      <c r="E35" s="285" t="str">
        <f>IF('2. Inputs and results'!$C$21&gt;='2. Inputs and results'!$B$21,'Solution  2, (hidden)'!B27,'Solution 1, (hidden)'!B27)</f>
        <v xml:space="preserve"> </v>
      </c>
      <c r="F35" s="291" t="e">
        <f>'Solution 1, (hidden)'!AF27</f>
        <v>#N/A</v>
      </c>
      <c r="G35" s="285" t="e">
        <f>'Solution  2, (hidden)'!AF27</f>
        <v>#N/A</v>
      </c>
    </row>
    <row r="36" spans="3:7" x14ac:dyDescent="0.25">
      <c r="C36" s="285" t="str">
        <f>'Solution 1, (hidden)'!B28</f>
        <v xml:space="preserve"> </v>
      </c>
      <c r="D36" s="285" t="str">
        <f>'Solution  2, (hidden)'!B28</f>
        <v xml:space="preserve"> </v>
      </c>
      <c r="E36" s="285" t="str">
        <f>IF('2. Inputs and results'!$C$21&gt;='2. Inputs and results'!$B$21,'Solution  2, (hidden)'!B28,'Solution 1, (hidden)'!B28)</f>
        <v xml:space="preserve"> </v>
      </c>
      <c r="F36" s="291" t="e">
        <f>'Solution 1, (hidden)'!AF28</f>
        <v>#N/A</v>
      </c>
      <c r="G36" s="285" t="e">
        <f>'Solution  2, (hidden)'!AF28</f>
        <v>#N/A</v>
      </c>
    </row>
    <row r="37" spans="3:7" x14ac:dyDescent="0.25">
      <c r="C37" s="285" t="str">
        <f>'Solution 1, (hidden)'!B29</f>
        <v xml:space="preserve"> </v>
      </c>
      <c r="D37" s="285" t="str">
        <f>'Solution  2, (hidden)'!B29</f>
        <v xml:space="preserve"> </v>
      </c>
      <c r="E37" s="285" t="str">
        <f>IF('2. Inputs and results'!$C$21&gt;='2. Inputs and results'!$B$21,'Solution  2, (hidden)'!B29,'Solution 1, (hidden)'!B29)</f>
        <v xml:space="preserve"> </v>
      </c>
      <c r="F37" s="291" t="e">
        <f>'Solution 1, (hidden)'!AF29</f>
        <v>#N/A</v>
      </c>
      <c r="G37" s="285" t="e">
        <f>'Solution  2, (hidden)'!AF29</f>
        <v>#N/A</v>
      </c>
    </row>
    <row r="38" spans="3:7" x14ac:dyDescent="0.25">
      <c r="C38" s="285" t="str">
        <f>'Solution 1, (hidden)'!B30</f>
        <v xml:space="preserve"> </v>
      </c>
      <c r="D38" s="285" t="str">
        <f>'Solution  2, (hidden)'!B30</f>
        <v xml:space="preserve"> </v>
      </c>
      <c r="E38" s="285" t="str">
        <f>IF('2. Inputs and results'!$C$21&gt;='2. Inputs and results'!$B$21,'Solution  2, (hidden)'!B30,'Solution 1, (hidden)'!B30)</f>
        <v xml:space="preserve"> </v>
      </c>
      <c r="F38" s="291" t="e">
        <f>'Solution 1, (hidden)'!AF30</f>
        <v>#N/A</v>
      </c>
      <c r="G38" s="285" t="e">
        <f>'Solution  2, (hidden)'!AF30</f>
        <v>#N/A</v>
      </c>
    </row>
    <row r="39" spans="3:7" x14ac:dyDescent="0.25">
      <c r="C39" s="285" t="str">
        <f>'Solution 1, (hidden)'!B31</f>
        <v xml:space="preserve"> </v>
      </c>
      <c r="D39" s="285" t="str">
        <f>'Solution  2, (hidden)'!B31</f>
        <v xml:space="preserve"> </v>
      </c>
      <c r="E39" s="285" t="str">
        <f>IF('2. Inputs and results'!$C$21&gt;='2. Inputs and results'!$B$21,'Solution  2, (hidden)'!B31,'Solution 1, (hidden)'!B31)</f>
        <v xml:space="preserve"> </v>
      </c>
      <c r="F39" s="291" t="e">
        <f>'Solution 1, (hidden)'!AF31</f>
        <v>#N/A</v>
      </c>
      <c r="G39" s="285" t="e">
        <f>'Solution  2, (hidden)'!AF31</f>
        <v>#N/A</v>
      </c>
    </row>
    <row r="40" spans="3:7" x14ac:dyDescent="0.25">
      <c r="C40" s="285" t="str">
        <f>'Solution 1, (hidden)'!B32</f>
        <v xml:space="preserve"> </v>
      </c>
      <c r="D40" s="285" t="str">
        <f>'Solution  2, (hidden)'!B32</f>
        <v xml:space="preserve"> </v>
      </c>
      <c r="E40" s="285" t="str">
        <f>IF('2. Inputs and results'!$C$21&gt;='2. Inputs and results'!$B$21,'Solution  2, (hidden)'!B32,'Solution 1, (hidden)'!B32)</f>
        <v xml:space="preserve"> </v>
      </c>
      <c r="F40" s="291" t="e">
        <f>'Solution 1, (hidden)'!AF32</f>
        <v>#N/A</v>
      </c>
      <c r="G40" s="285" t="e">
        <f>'Solution  2, (hidden)'!AF32</f>
        <v>#N/A</v>
      </c>
    </row>
    <row r="41" spans="3:7" x14ac:dyDescent="0.25">
      <c r="C41" s="285" t="str">
        <f>'Solution 1, (hidden)'!B33</f>
        <v xml:space="preserve"> </v>
      </c>
      <c r="D41" s="285" t="str">
        <f>'Solution  2, (hidden)'!B33</f>
        <v xml:space="preserve"> </v>
      </c>
      <c r="E41" s="285" t="str">
        <f>IF('2. Inputs and results'!$C$21&gt;='2. Inputs and results'!$B$21,'Solution  2, (hidden)'!B33,'Solution 1, (hidden)'!B33)</f>
        <v xml:space="preserve"> </v>
      </c>
      <c r="F41" s="291" t="e">
        <f>'Solution 1, (hidden)'!AF33</f>
        <v>#N/A</v>
      </c>
      <c r="G41" s="285" t="e">
        <f>'Solution  2, (hidden)'!AF33</f>
        <v>#N/A</v>
      </c>
    </row>
    <row r="42" spans="3:7" x14ac:dyDescent="0.25">
      <c r="C42" s="285" t="str">
        <f>'Solution 1, (hidden)'!B34</f>
        <v xml:space="preserve"> </v>
      </c>
      <c r="D42" s="285" t="str">
        <f>'Solution  2, (hidden)'!B34</f>
        <v xml:space="preserve"> </v>
      </c>
      <c r="E42" s="285" t="str">
        <f>IF('2. Inputs and results'!$C$21&gt;='2. Inputs and results'!$B$21,'Solution  2, (hidden)'!B34,'Solution 1, (hidden)'!B34)</f>
        <v xml:space="preserve"> </v>
      </c>
      <c r="F42" s="291" t="e">
        <f>'Solution 1, (hidden)'!AF34</f>
        <v>#N/A</v>
      </c>
      <c r="G42" s="285" t="e">
        <f>'Solution  2, (hidden)'!AF34</f>
        <v>#N/A</v>
      </c>
    </row>
    <row r="43" spans="3:7" x14ac:dyDescent="0.25">
      <c r="C43" s="285" t="str">
        <f>'Solution 1, (hidden)'!B35</f>
        <v xml:space="preserve"> </v>
      </c>
      <c r="D43" s="285" t="str">
        <f>'Solution  2, (hidden)'!B35</f>
        <v xml:space="preserve"> </v>
      </c>
      <c r="E43" s="285" t="str">
        <f>IF('2. Inputs and results'!$C$21&gt;='2. Inputs and results'!$B$21,'Solution  2, (hidden)'!B35,'Solution 1, (hidden)'!B35)</f>
        <v xml:space="preserve"> </v>
      </c>
      <c r="F43" s="291" t="e">
        <f>'Solution 1, (hidden)'!AF35</f>
        <v>#N/A</v>
      </c>
      <c r="G43" s="285" t="e">
        <f>'Solution  2, (hidden)'!AF35</f>
        <v>#N/A</v>
      </c>
    </row>
    <row r="44" spans="3:7" x14ac:dyDescent="0.25">
      <c r="C44" s="285" t="str">
        <f>'Solution 1, (hidden)'!B36</f>
        <v xml:space="preserve"> </v>
      </c>
      <c r="D44" s="285" t="str">
        <f>'Solution  2, (hidden)'!B36</f>
        <v xml:space="preserve"> </v>
      </c>
      <c r="E44" s="285" t="str">
        <f>IF('2. Inputs and results'!$C$21&gt;='2. Inputs and results'!$B$21,'Solution  2, (hidden)'!B36,'Solution 1, (hidden)'!B36)</f>
        <v xml:space="preserve"> </v>
      </c>
      <c r="F44" s="285" t="e">
        <f>'Solution 1, (hidden)'!AF36</f>
        <v>#N/A</v>
      </c>
      <c r="G44" s="285" t="e">
        <f>'Solution  2, (hidden)'!AF36</f>
        <v>#N/A</v>
      </c>
    </row>
    <row r="45" spans="3:7" x14ac:dyDescent="0.25">
      <c r="C45" s="285" t="str">
        <f>'Solution 1, (hidden)'!B37</f>
        <v xml:space="preserve"> </v>
      </c>
      <c r="D45" s="285" t="str">
        <f>'Solution  2, (hidden)'!B37</f>
        <v xml:space="preserve"> </v>
      </c>
      <c r="E45" s="285" t="str">
        <f>IF('2. Inputs and results'!$C$21&gt;='2. Inputs and results'!$B$21,'Solution  2, (hidden)'!B37,'Solution 1, (hidden)'!B37)</f>
        <v xml:space="preserve"> </v>
      </c>
      <c r="F45" s="285" t="e">
        <f>'Solution 1, (hidden)'!AF37</f>
        <v>#N/A</v>
      </c>
      <c r="G45" s="285" t="e">
        <f>'Solution  2, (hidden)'!AF37</f>
        <v>#N/A</v>
      </c>
    </row>
    <row r="46" spans="3:7" x14ac:dyDescent="0.25">
      <c r="C46" s="285" t="str">
        <f>'Solution 1, (hidden)'!B38</f>
        <v xml:space="preserve"> </v>
      </c>
      <c r="D46" s="285" t="str">
        <f>'Solution  2, (hidden)'!B38</f>
        <v xml:space="preserve"> </v>
      </c>
      <c r="E46" s="285" t="str">
        <f>IF('2. Inputs and results'!$C$21&gt;='2. Inputs and results'!$B$21,'Solution  2, (hidden)'!B38,'Solution 1, (hidden)'!B38)</f>
        <v xml:space="preserve"> </v>
      </c>
      <c r="F46" s="285" t="e">
        <f>'Solution 1, (hidden)'!AF38</f>
        <v>#N/A</v>
      </c>
      <c r="G46" s="285" t="e">
        <f>'Solution  2, (hidden)'!AF38</f>
        <v>#N/A</v>
      </c>
    </row>
    <row r="47" spans="3:7" x14ac:dyDescent="0.25">
      <c r="C47" s="285" t="str">
        <f>'Solution 1, (hidden)'!B39</f>
        <v xml:space="preserve"> </v>
      </c>
      <c r="D47" s="285" t="str">
        <f>'Solution  2, (hidden)'!B39</f>
        <v xml:space="preserve"> </v>
      </c>
      <c r="E47" s="285" t="str">
        <f>IF('2. Inputs and results'!$C$21&gt;='2. Inputs and results'!$B$21,'Solution  2, (hidden)'!B39,'Solution 1, (hidden)'!B39)</f>
        <v xml:space="preserve"> </v>
      </c>
      <c r="F47" s="285" t="e">
        <f>'Solution 1, (hidden)'!AF39</f>
        <v>#N/A</v>
      </c>
      <c r="G47" s="285" t="e">
        <f>'Solution  2, (hidden)'!AF39</f>
        <v>#N/A</v>
      </c>
    </row>
    <row r="48" spans="3:7" x14ac:dyDescent="0.25">
      <c r="C48" s="285" t="str">
        <f>'Solution 1, (hidden)'!B40</f>
        <v xml:space="preserve"> </v>
      </c>
      <c r="D48" s="285" t="str">
        <f>'Solution  2, (hidden)'!B40</f>
        <v xml:space="preserve"> </v>
      </c>
      <c r="E48" s="285" t="str">
        <f>IF('2. Inputs and results'!$C$21&gt;='2. Inputs and results'!$B$21,'Solution  2, (hidden)'!B40,'Solution 1, (hidden)'!B40)</f>
        <v xml:space="preserve"> </v>
      </c>
      <c r="F48" s="285" t="e">
        <f>'Solution 1, (hidden)'!AF40</f>
        <v>#N/A</v>
      </c>
      <c r="G48" s="285" t="e">
        <f>'Solution  2, (hidden)'!AF40</f>
        <v>#N/A</v>
      </c>
    </row>
    <row r="49" spans="3:7" x14ac:dyDescent="0.25">
      <c r="C49" s="285" t="str">
        <f>'Solution 1, (hidden)'!B41</f>
        <v xml:space="preserve"> </v>
      </c>
      <c r="D49" s="285" t="str">
        <f>'Solution  2, (hidden)'!B41</f>
        <v xml:space="preserve"> </v>
      </c>
      <c r="E49" s="285" t="str">
        <f>IF('2. Inputs and results'!$C$21&gt;='2. Inputs and results'!$B$21,'Solution  2, (hidden)'!B41,'Solution 1, (hidden)'!B41)</f>
        <v xml:space="preserve"> </v>
      </c>
      <c r="F49" s="285" t="e">
        <f>'Solution 1, (hidden)'!AF41</f>
        <v>#N/A</v>
      </c>
      <c r="G49" s="285" t="e">
        <f>'Solution  2, (hidden)'!AF41</f>
        <v>#N/A</v>
      </c>
    </row>
    <row r="50" spans="3:7" x14ac:dyDescent="0.25">
      <c r="C50" s="285" t="str">
        <f>'Solution 1, (hidden)'!B42</f>
        <v xml:space="preserve"> </v>
      </c>
      <c r="D50" s="285" t="str">
        <f>'Solution  2, (hidden)'!B42</f>
        <v xml:space="preserve"> </v>
      </c>
      <c r="E50" s="285" t="str">
        <f>IF('2. Inputs and results'!$C$21&gt;='2. Inputs and results'!$B$21,'Solution  2, (hidden)'!B42,'Solution 1, (hidden)'!B42)</f>
        <v xml:space="preserve"> </v>
      </c>
      <c r="F50" s="285" t="e">
        <f>'Solution 1, (hidden)'!AF42</f>
        <v>#N/A</v>
      </c>
      <c r="G50" s="285" t="e">
        <f>'Solution  2, (hidden)'!AF42</f>
        <v>#N/A</v>
      </c>
    </row>
    <row r="51" spans="3:7" x14ac:dyDescent="0.25">
      <c r="C51" s="285" t="str">
        <f>'Solution 1, (hidden)'!B43</f>
        <v xml:space="preserve"> </v>
      </c>
      <c r="D51" s="285" t="str">
        <f>'Solution  2, (hidden)'!B43</f>
        <v xml:space="preserve"> </v>
      </c>
      <c r="E51" s="285" t="str">
        <f>IF('2. Inputs and results'!$C$21&gt;='2. Inputs and results'!$B$21,'Solution  2, (hidden)'!B43,'Solution 1, (hidden)'!B43)</f>
        <v xml:space="preserve"> </v>
      </c>
      <c r="F51" s="285" t="e">
        <f>'Solution 1, (hidden)'!AF43</f>
        <v>#N/A</v>
      </c>
      <c r="G51" s="285" t="e">
        <f>'Solution  2, (hidden)'!AF43</f>
        <v>#N/A</v>
      </c>
    </row>
    <row r="52" spans="3:7" x14ac:dyDescent="0.25">
      <c r="C52" s="285" t="str">
        <f>'Solution 1, (hidden)'!B44</f>
        <v xml:space="preserve"> </v>
      </c>
      <c r="D52" s="285" t="str">
        <f>'Solution  2, (hidden)'!B44</f>
        <v xml:space="preserve"> </v>
      </c>
      <c r="E52" s="285" t="str">
        <f>IF('2. Inputs and results'!$C$21&gt;='2. Inputs and results'!$B$21,'Solution  2, (hidden)'!B44,'Solution 1, (hidden)'!B44)</f>
        <v xml:space="preserve"> </v>
      </c>
      <c r="F52" s="285" t="e">
        <f>'Solution 1, (hidden)'!AF44</f>
        <v>#N/A</v>
      </c>
      <c r="G52" s="285" t="e">
        <f>'Solution  2, (hidden)'!AF44</f>
        <v>#N/A</v>
      </c>
    </row>
    <row r="53" spans="3:7" x14ac:dyDescent="0.25">
      <c r="C53" s="285" t="str">
        <f>'Solution 1, (hidden)'!B45</f>
        <v xml:space="preserve"> </v>
      </c>
      <c r="D53" s="285" t="str">
        <f>'Solution  2, (hidden)'!B45</f>
        <v xml:space="preserve"> </v>
      </c>
      <c r="E53" s="285" t="str">
        <f>IF('2. Inputs and results'!$C$21&gt;='2. Inputs and results'!$B$21,'Solution  2, (hidden)'!B45,'Solution 1, (hidden)'!B45)</f>
        <v xml:space="preserve"> </v>
      </c>
      <c r="F53" s="285" t="e">
        <f>'Solution 1, (hidden)'!AF45</f>
        <v>#N/A</v>
      </c>
      <c r="G53" s="285" t="e">
        <f>'Solution  2, (hidden)'!AF45</f>
        <v>#N/A</v>
      </c>
    </row>
    <row r="54" spans="3:7" x14ac:dyDescent="0.25">
      <c r="C54" s="285" t="str">
        <f>'Solution 1, (hidden)'!B46</f>
        <v xml:space="preserve"> </v>
      </c>
      <c r="D54" s="285" t="str">
        <f>'Solution  2, (hidden)'!B46</f>
        <v xml:space="preserve"> </v>
      </c>
      <c r="E54" s="285" t="str">
        <f>IF('2. Inputs and results'!$C$21&gt;='2. Inputs and results'!$B$21,'Solution  2, (hidden)'!B46,'Solution 1, (hidden)'!B46)</f>
        <v xml:space="preserve"> </v>
      </c>
      <c r="F54" s="285" t="e">
        <f>'Solution 1, (hidden)'!AF46</f>
        <v>#N/A</v>
      </c>
      <c r="G54" s="285" t="e">
        <f>'Solution  2, (hidden)'!AF46</f>
        <v>#N/A</v>
      </c>
    </row>
    <row r="55" spans="3:7" x14ac:dyDescent="0.25">
      <c r="C55" s="285" t="str">
        <f>'Solution 1, (hidden)'!B47</f>
        <v xml:space="preserve"> </v>
      </c>
      <c r="D55" s="285" t="str">
        <f>'Solution  2, (hidden)'!B47</f>
        <v xml:space="preserve"> </v>
      </c>
      <c r="E55" s="285" t="str">
        <f>IF('2. Inputs and results'!$C$21&gt;='2. Inputs and results'!$B$21,'Solution  2, (hidden)'!B47,'Solution 1, (hidden)'!B47)</f>
        <v xml:space="preserve"> </v>
      </c>
      <c r="F55" s="285" t="e">
        <f>'Solution 1, (hidden)'!AF47</f>
        <v>#N/A</v>
      </c>
      <c r="G55" s="285" t="e">
        <f>'Solution  2, (hidden)'!AF47</f>
        <v>#N/A</v>
      </c>
    </row>
    <row r="56" spans="3:7" x14ac:dyDescent="0.25">
      <c r="C56" s="285" t="str">
        <f>'Solution 1, (hidden)'!B48</f>
        <v xml:space="preserve"> </v>
      </c>
      <c r="D56" s="285" t="str">
        <f>'Solution  2, (hidden)'!B48</f>
        <v xml:space="preserve"> </v>
      </c>
      <c r="E56" s="285" t="str">
        <f>IF('2. Inputs and results'!$C$21&gt;='2. Inputs and results'!$B$21,'Solution  2, (hidden)'!B48,'Solution 1, (hidden)'!B48)</f>
        <v xml:space="preserve"> </v>
      </c>
      <c r="F56" s="285" t="e">
        <f>'Solution 1, (hidden)'!AF48</f>
        <v>#N/A</v>
      </c>
      <c r="G56" s="285" t="e">
        <f>'Solution  2, (hidden)'!AF48</f>
        <v>#N/A</v>
      </c>
    </row>
    <row r="57" spans="3:7" x14ac:dyDescent="0.25">
      <c r="C57" s="285" t="str">
        <f>'Solution 1, (hidden)'!B49</f>
        <v xml:space="preserve"> </v>
      </c>
      <c r="D57" s="285" t="str">
        <f>'Solution  2, (hidden)'!B49</f>
        <v xml:space="preserve"> </v>
      </c>
      <c r="E57" s="285" t="str">
        <f>IF('2. Inputs and results'!$C$21&gt;='2. Inputs and results'!$B$21,'Solution  2, (hidden)'!B49,'Solution 1, (hidden)'!B49)</f>
        <v xml:space="preserve"> </v>
      </c>
      <c r="F57" s="285" t="e">
        <f>'Solution 1, (hidden)'!AF49</f>
        <v>#N/A</v>
      </c>
      <c r="G57" s="285" t="e">
        <f>'Solution  2, (hidden)'!AF49</f>
        <v>#N/A</v>
      </c>
    </row>
    <row r="58" spans="3:7" x14ac:dyDescent="0.25">
      <c r="C58" s="285" t="str">
        <f>'Solution 1, (hidden)'!B50</f>
        <v xml:space="preserve"> </v>
      </c>
      <c r="D58" s="285" t="str">
        <f>'Solution  2, (hidden)'!B50</f>
        <v xml:space="preserve"> </v>
      </c>
      <c r="E58" s="285" t="str">
        <f>IF('2. Inputs and results'!$C$21&gt;='2. Inputs and results'!$B$21,'Solution  2, (hidden)'!B50,'Solution 1, (hidden)'!B50)</f>
        <v xml:space="preserve"> </v>
      </c>
      <c r="F58" s="285" t="e">
        <f>'Solution 1, (hidden)'!AF50</f>
        <v>#N/A</v>
      </c>
      <c r="G58" s="285" t="e">
        <f>'Solution  2, (hidden)'!AF50</f>
        <v>#N/A</v>
      </c>
    </row>
    <row r="59" spans="3:7" x14ac:dyDescent="0.25">
      <c r="C59" s="285" t="str">
        <f>'Solution 1, (hidden)'!B51</f>
        <v xml:space="preserve"> </v>
      </c>
      <c r="D59" s="285" t="str">
        <f>'Solution  2, (hidden)'!B51</f>
        <v xml:space="preserve"> </v>
      </c>
      <c r="E59" s="285" t="str">
        <f>IF('2. Inputs and results'!$C$21&gt;='2. Inputs and results'!$B$21,'Solution  2, (hidden)'!B51,'Solution 1, (hidden)'!B51)</f>
        <v xml:space="preserve"> </v>
      </c>
      <c r="F59" s="285" t="e">
        <f>'Solution 1, (hidden)'!AF51</f>
        <v>#N/A</v>
      </c>
      <c r="G59" s="285" t="e">
        <f>'Solution  2, (hidden)'!AF51</f>
        <v>#N/A</v>
      </c>
    </row>
    <row r="60" spans="3:7" x14ac:dyDescent="0.25">
      <c r="C60" s="285" t="str">
        <f>'Solution 1, (hidden)'!B52</f>
        <v xml:space="preserve"> </v>
      </c>
      <c r="D60" s="285" t="str">
        <f>'Solution  2, (hidden)'!B52</f>
        <v xml:space="preserve"> </v>
      </c>
      <c r="E60" s="285" t="str">
        <f>IF('2. Inputs and results'!$C$21&gt;='2. Inputs and results'!$B$21,'Solution  2, (hidden)'!B52,'Solution 1, (hidden)'!B52)</f>
        <v xml:space="preserve"> </v>
      </c>
      <c r="F60" s="285" t="e">
        <f>'Solution 1, (hidden)'!AF52</f>
        <v>#N/A</v>
      </c>
      <c r="G60" s="285" t="e">
        <f>'Solution  2, (hidden)'!AF52</f>
        <v>#N/A</v>
      </c>
    </row>
    <row r="61" spans="3:7" x14ac:dyDescent="0.25">
      <c r="C61" s="285" t="str">
        <f>'Solution 1, (hidden)'!B53</f>
        <v xml:space="preserve"> </v>
      </c>
      <c r="D61" s="285" t="str">
        <f>'Solution  2, (hidden)'!B53</f>
        <v xml:space="preserve"> </v>
      </c>
      <c r="E61" s="285" t="str">
        <f>IF('2. Inputs and results'!$C$21&gt;='2. Inputs and results'!$B$21,'Solution  2, (hidden)'!B53,'Solution 1, (hidden)'!B53)</f>
        <v xml:space="preserve"> </v>
      </c>
      <c r="F61" s="285" t="e">
        <f>'Solution 1, (hidden)'!AF53</f>
        <v>#N/A</v>
      </c>
      <c r="G61" s="285" t="e">
        <f>'Solution  2, (hidden)'!AF53</f>
        <v>#N/A</v>
      </c>
    </row>
    <row r="62" spans="3:7" x14ac:dyDescent="0.25">
      <c r="C62" s="285" t="str">
        <f>'Solution 1, (hidden)'!B54</f>
        <v xml:space="preserve"> </v>
      </c>
      <c r="D62" s="285" t="str">
        <f>'Solution  2, (hidden)'!B54</f>
        <v xml:space="preserve"> </v>
      </c>
      <c r="E62" s="285" t="str">
        <f>IF('2. Inputs and results'!$C$21&gt;='2. Inputs and results'!$B$21,'Solution  2, (hidden)'!B54,'Solution 1, (hidden)'!B54)</f>
        <v xml:space="preserve"> </v>
      </c>
      <c r="F62" s="285" t="e">
        <f>'Solution 1, (hidden)'!AF54</f>
        <v>#N/A</v>
      </c>
      <c r="G62" s="285" t="e">
        <f>'Solution  2, (hidden)'!AF54</f>
        <v>#N/A</v>
      </c>
    </row>
    <row r="63" spans="3:7" x14ac:dyDescent="0.25">
      <c r="C63" s="285" t="str">
        <f>'Solution 1, (hidden)'!B55</f>
        <v xml:space="preserve"> </v>
      </c>
      <c r="D63" s="285" t="str">
        <f>'Solution  2, (hidden)'!B55</f>
        <v xml:space="preserve"> </v>
      </c>
      <c r="E63" s="285" t="str">
        <f>IF('2. Inputs and results'!$C$21&gt;='2. Inputs and results'!$B$21,'Solution  2, (hidden)'!B55,'Solution 1, (hidden)'!B55)</f>
        <v xml:space="preserve"> </v>
      </c>
      <c r="F63" s="285" t="e">
        <f>'Solution 1, (hidden)'!AF55</f>
        <v>#N/A</v>
      </c>
      <c r="G63" s="285" t="e">
        <f>'Solution  2, (hidden)'!AF55</f>
        <v>#N/A</v>
      </c>
    </row>
  </sheetData>
  <sheetProtection sheet="1" objects="1" scenarios="1"/>
  <conditionalFormatting sqref="E13:G63">
    <cfRule type="containsErrors" dxfId="24" priority="1">
      <formula>ISERROR(E13)</formula>
    </cfRule>
  </conditionalFormatting>
  <pageMargins left="0.7" right="0.7" top="0.75" bottom="0.75" header="0.3" footer="0.3"/>
  <pageSetup paperSize="9"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6"/>
  <dimension ref="A1:B12"/>
  <sheetViews>
    <sheetView workbookViewId="0">
      <selection activeCell="B18" sqref="B18"/>
    </sheetView>
  </sheetViews>
  <sheetFormatPr defaultRowHeight="15" x14ac:dyDescent="0.25"/>
  <cols>
    <col min="1" max="1" width="44.85546875" customWidth="1"/>
    <col min="2" max="2" width="101.7109375" customWidth="1"/>
  </cols>
  <sheetData>
    <row r="1" spans="1:2" x14ac:dyDescent="0.25">
      <c r="A1" t="s">
        <v>82</v>
      </c>
      <c r="B1" t="s">
        <v>83</v>
      </c>
    </row>
    <row r="2" spans="1:2" x14ac:dyDescent="0.25">
      <c r="A2" s="35"/>
    </row>
    <row r="3" spans="1:2" x14ac:dyDescent="0.25">
      <c r="A3" s="35">
        <v>43375</v>
      </c>
      <c r="B3" t="s">
        <v>85</v>
      </c>
    </row>
    <row r="4" spans="1:2" x14ac:dyDescent="0.25">
      <c r="A4" s="35">
        <v>43376</v>
      </c>
      <c r="B4" t="s">
        <v>86</v>
      </c>
    </row>
    <row r="5" spans="1:2" x14ac:dyDescent="0.25">
      <c r="A5" s="36">
        <v>43377</v>
      </c>
      <c r="B5" t="s">
        <v>90</v>
      </c>
    </row>
    <row r="6" spans="1:2" x14ac:dyDescent="0.25">
      <c r="A6" t="s">
        <v>95</v>
      </c>
      <c r="B6" t="s">
        <v>96</v>
      </c>
    </row>
    <row r="7" spans="1:2" x14ac:dyDescent="0.25">
      <c r="A7" s="36">
        <v>43396</v>
      </c>
      <c r="B7" t="s">
        <v>97</v>
      </c>
    </row>
    <row r="8" spans="1:2" x14ac:dyDescent="0.25">
      <c r="A8" s="38">
        <v>43405</v>
      </c>
      <c r="B8" t="s">
        <v>106</v>
      </c>
    </row>
    <row r="9" spans="1:2" x14ac:dyDescent="0.25">
      <c r="A9" s="38">
        <v>43435</v>
      </c>
      <c r="B9" t="s">
        <v>107</v>
      </c>
    </row>
    <row r="10" spans="1:2" x14ac:dyDescent="0.25">
      <c r="A10" s="35">
        <v>43444</v>
      </c>
      <c r="B10" t="s">
        <v>133</v>
      </c>
    </row>
    <row r="11" spans="1:2" x14ac:dyDescent="0.25">
      <c r="A11" s="35">
        <v>43454</v>
      </c>
      <c r="B11" t="s">
        <v>132</v>
      </c>
    </row>
    <row r="12" spans="1:2" x14ac:dyDescent="0.25">
      <c r="A12" s="35">
        <v>43486</v>
      </c>
      <c r="B12" t="s">
        <v>136</v>
      </c>
    </row>
  </sheetData>
  <sheetProtection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8"/>
  <dimension ref="A1:A6"/>
  <sheetViews>
    <sheetView workbookViewId="0">
      <selection activeCell="C15" sqref="C15"/>
    </sheetView>
  </sheetViews>
  <sheetFormatPr defaultRowHeight="15" x14ac:dyDescent="0.25"/>
  <cols>
    <col min="1" max="1" width="18.5703125" customWidth="1"/>
  </cols>
  <sheetData>
    <row r="1" spans="1:1" ht="15.75" x14ac:dyDescent="0.25">
      <c r="A1" s="28" t="s">
        <v>54</v>
      </c>
    </row>
    <row r="2" spans="1:1" ht="15.75" x14ac:dyDescent="0.25">
      <c r="A2" s="32" t="s">
        <v>55</v>
      </c>
    </row>
    <row r="3" spans="1:1" ht="15.75" x14ac:dyDescent="0.25">
      <c r="A3" s="33" t="s">
        <v>91</v>
      </c>
    </row>
    <row r="4" spans="1:1" ht="15.75" x14ac:dyDescent="0.25">
      <c r="A4" s="34" t="s">
        <v>84</v>
      </c>
    </row>
    <row r="5" spans="1:1" ht="15.75" x14ac:dyDescent="0.25">
      <c r="A5" s="107" t="s">
        <v>228</v>
      </c>
    </row>
    <row r="6" spans="1:1" ht="15.75" x14ac:dyDescent="0.25">
      <c r="A6" s="107" t="s">
        <v>229</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4">
    <pageSetUpPr fitToPage="1"/>
  </sheetPr>
  <dimension ref="A1:AF60"/>
  <sheetViews>
    <sheetView workbookViewId="0">
      <selection activeCell="I6" sqref="I6"/>
    </sheetView>
  </sheetViews>
  <sheetFormatPr defaultRowHeight="15" x14ac:dyDescent="0.25"/>
  <cols>
    <col min="1" max="2" width="27.42578125" customWidth="1"/>
    <col min="3" max="3" width="36.5703125" customWidth="1"/>
    <col min="4" max="5" width="34.85546875" customWidth="1"/>
    <col min="6" max="6" width="44.140625" customWidth="1"/>
    <col min="7" max="8" width="24.85546875" customWidth="1"/>
    <col min="9" max="9" width="26.42578125" customWidth="1"/>
    <col min="10" max="10" width="26.42578125" style="39" customWidth="1"/>
    <col min="11" max="11" width="33.28515625" customWidth="1"/>
    <col min="12" max="14" width="17.42578125" customWidth="1"/>
    <col min="15" max="15" width="27.85546875" customWidth="1"/>
    <col min="16" max="16" width="36.140625" customWidth="1"/>
    <col min="17" max="17" width="15" bestFit="1"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x14ac:dyDescent="0.25">
      <c r="K1" s="11"/>
      <c r="P1" s="5"/>
      <c r="R1" s="15" t="s">
        <v>72</v>
      </c>
      <c r="S1" s="15"/>
      <c r="T1" s="42"/>
      <c r="U1" s="15"/>
      <c r="V1" s="15"/>
      <c r="W1" s="15"/>
      <c r="X1" s="15"/>
      <c r="Y1" s="42"/>
      <c r="Z1" s="15"/>
      <c r="AA1" s="15" t="s">
        <v>156</v>
      </c>
      <c r="AB1" s="15" t="s">
        <v>156</v>
      </c>
      <c r="AC1" s="15" t="s">
        <v>156</v>
      </c>
      <c r="AD1" s="15" t="s">
        <v>156</v>
      </c>
    </row>
    <row r="2" spans="1:32" x14ac:dyDescent="0.25">
      <c r="O2" s="6" t="s">
        <v>12</v>
      </c>
      <c r="P2" s="14">
        <f>'2. Inputs and results'!B81</f>
        <v>0.04</v>
      </c>
      <c r="R2" s="15"/>
      <c r="S2" s="15"/>
      <c r="T2" s="15"/>
      <c r="U2" s="6"/>
      <c r="V2" s="15"/>
      <c r="W2" s="15"/>
      <c r="X2" s="15"/>
      <c r="Y2" s="15"/>
      <c r="Z2" s="6"/>
      <c r="AA2" s="6"/>
      <c r="AB2" s="6"/>
      <c r="AC2" s="6"/>
      <c r="AD2" s="6"/>
    </row>
    <row r="3" spans="1:32" x14ac:dyDescent="0.25">
      <c r="G3" s="25" t="s">
        <v>154</v>
      </c>
      <c r="H3" s="25"/>
      <c r="I3" s="11"/>
      <c r="J3" s="11"/>
      <c r="K3" s="11"/>
      <c r="R3" s="15"/>
      <c r="S3" s="15"/>
      <c r="T3" s="15"/>
      <c r="U3" s="6" t="s">
        <v>53</v>
      </c>
      <c r="V3" s="15"/>
      <c r="W3" s="15"/>
      <c r="X3" s="15"/>
      <c r="Y3" s="15"/>
      <c r="Z3" t="s">
        <v>65</v>
      </c>
      <c r="AE3" t="s">
        <v>31</v>
      </c>
    </row>
    <row r="4" spans="1:32" x14ac:dyDescent="0.25">
      <c r="A4" t="s">
        <v>0</v>
      </c>
      <c r="C4" s="6" t="s">
        <v>153</v>
      </c>
      <c r="D4" s="6" t="s">
        <v>27</v>
      </c>
      <c r="E4" s="6" t="s">
        <v>61</v>
      </c>
      <c r="F4" s="6" t="s">
        <v>60</v>
      </c>
      <c r="G4" s="11" t="s">
        <v>29</v>
      </c>
      <c r="H4" s="11" t="s">
        <v>103</v>
      </c>
      <c r="I4" s="11" t="s">
        <v>30</v>
      </c>
      <c r="J4" s="11" t="s">
        <v>155</v>
      </c>
      <c r="K4" t="s">
        <v>50</v>
      </c>
      <c r="L4" t="s">
        <v>57</v>
      </c>
      <c r="M4" t="s">
        <v>34</v>
      </c>
      <c r="N4" t="s">
        <v>45</v>
      </c>
      <c r="O4" t="s">
        <v>14</v>
      </c>
      <c r="P4" t="s">
        <v>51</v>
      </c>
      <c r="Q4" t="s">
        <v>16</v>
      </c>
      <c r="R4" s="15" t="s">
        <v>62</v>
      </c>
      <c r="S4" s="15" t="s">
        <v>35</v>
      </c>
      <c r="T4" s="15" t="s">
        <v>52</v>
      </c>
      <c r="U4" s="15" t="s">
        <v>63</v>
      </c>
      <c r="V4" s="15" t="s">
        <v>37</v>
      </c>
      <c r="W4" s="15" t="s">
        <v>64</v>
      </c>
      <c r="X4" s="15" t="s">
        <v>36</v>
      </c>
      <c r="Y4" s="15" t="s">
        <v>52</v>
      </c>
      <c r="Z4" s="15" t="s">
        <v>41</v>
      </c>
      <c r="AA4" s="15" t="s">
        <v>75</v>
      </c>
      <c r="AB4" s="15" t="s">
        <v>47</v>
      </c>
      <c r="AC4" s="15" t="s">
        <v>74</v>
      </c>
      <c r="AD4" s="15" t="s">
        <v>48</v>
      </c>
      <c r="AE4" t="s">
        <v>33</v>
      </c>
      <c r="AF4" t="s">
        <v>32</v>
      </c>
    </row>
    <row r="5" spans="1:32" x14ac:dyDescent="0.25">
      <c r="A5">
        <v>0</v>
      </c>
      <c r="B5">
        <f>IF(A5&lt;('2. Inputs and results'!$B$21+1),A5," ")</f>
        <v>0</v>
      </c>
      <c r="C5" s="4">
        <v>0</v>
      </c>
      <c r="D5" s="4">
        <f>C5</f>
        <v>0</v>
      </c>
      <c r="E5" s="4">
        <v>0</v>
      </c>
      <c r="F5" s="4"/>
      <c r="G5" s="4">
        <v>0</v>
      </c>
      <c r="H5" s="4">
        <v>0</v>
      </c>
      <c r="I5" s="4">
        <v>0</v>
      </c>
      <c r="J5" s="4"/>
      <c r="K5" s="4">
        <f>G5+H5+I5</f>
        <v>0</v>
      </c>
      <c r="L5" s="4">
        <f>'2. Inputs and results'!B73-('2. Inputs and results'!B77*'2. Inputs and results'!B73)</f>
        <v>156400</v>
      </c>
      <c r="M5" s="4"/>
      <c r="N5" s="4"/>
      <c r="O5" s="4"/>
      <c r="P5" s="4"/>
      <c r="Q5" s="4"/>
      <c r="R5" s="4">
        <f>-L5</f>
        <v>-156400</v>
      </c>
      <c r="S5" s="4"/>
      <c r="T5" s="4"/>
      <c r="U5" s="4">
        <f>R5</f>
        <v>-156400</v>
      </c>
      <c r="V5" s="4"/>
      <c r="W5" s="4">
        <f>-L5</f>
        <v>-156400</v>
      </c>
      <c r="X5" s="4"/>
      <c r="Y5" s="4"/>
      <c r="Z5" s="4">
        <f>W5</f>
        <v>-156400</v>
      </c>
      <c r="AA5" s="4">
        <f>G5+I5+H5+T5-$V$5</f>
        <v>0</v>
      </c>
      <c r="AB5" s="20">
        <f>IF(A5&lt;('2. Inputs and results'!$B$21+1),AA5/L5,NA())</f>
        <v>0</v>
      </c>
      <c r="AC5" s="29">
        <f>(C5+Y5-$V$5)</f>
        <v>0</v>
      </c>
      <c r="AD5" s="20">
        <f>IF(A5&lt;('2. Inputs and results'!$B$21+1),AC5/L5,NA())</f>
        <v>0</v>
      </c>
      <c r="AE5">
        <f>IF(A5&lt;('2. Inputs and results'!$B$21+1),-'2. Inputs and results'!$B$121*A5," ")</f>
        <v>0</v>
      </c>
      <c r="AF5">
        <f>IF(A5&lt;('2. Inputs and results'!$B$21+1),AE5/1000,NA())</f>
        <v>0</v>
      </c>
    </row>
    <row r="6" spans="1:32" x14ac:dyDescent="0.25">
      <c r="A6">
        <f>A5+1</f>
        <v>1</v>
      </c>
      <c r="B6">
        <f>IF(A6&lt;('2. Inputs and results'!$B$21+1),A6," ")</f>
        <v>1</v>
      </c>
      <c r="C6" s="4">
        <f>IF(A6&lt;('2. Inputs and results'!$B$21+1),'2. Inputs and results'!$B$99+'2. Inputs and results'!$B$101," ")</f>
        <v>11460</v>
      </c>
      <c r="D6" s="4">
        <f>C6</f>
        <v>11460</v>
      </c>
      <c r="E6" s="4">
        <f>IF(B6&lt;('2. Inputs and results'!$B$21+1),C6/((1+$P$2)^A6)," ")</f>
        <v>11019.23076923077</v>
      </c>
      <c r="F6" s="4">
        <f>E6</f>
        <v>11019.23076923077</v>
      </c>
      <c r="G6" s="4">
        <f>'2. Inputs and results'!B93</f>
        <v>11700</v>
      </c>
      <c r="H6" s="4">
        <f>'2. Inputs and results'!B97</f>
        <v>0</v>
      </c>
      <c r="I6" s="4">
        <f>'2. Inputs and results'!B95</f>
        <v>-240</v>
      </c>
      <c r="J6" s="4">
        <f>'2. Inputs and results'!B101</f>
        <v>0</v>
      </c>
      <c r="K6" s="4">
        <f>G6+I6+H6+J6</f>
        <v>11460</v>
      </c>
      <c r="L6" s="4">
        <f>'2. Inputs and results'!B73-('2. Inputs and results'!B77*'2. Inputs and results'!B73)</f>
        <v>156400</v>
      </c>
      <c r="M6" s="4">
        <f>IF(A6&lt;('2. Inputs and results'!$B$21+1),'2. Inputs and results'!$B$75*'2. Inputs and results'!$B$73," ")</f>
        <v>1840</v>
      </c>
      <c r="N6" s="4">
        <f>IF(A6&lt;('2. Inputs and results'!$B$21+1),M6/((1+$P$2)^A6)," ")</f>
        <v>1769.2307692307693</v>
      </c>
      <c r="O6" s="4">
        <f>L6</f>
        <v>156400</v>
      </c>
      <c r="P6" s="4">
        <f>IF(A6&lt;('2. Inputs and results'!$B$21+1),(G6+I6+H6+J6)/((1+$P$2)^A6)," ")</f>
        <v>11019.23076923077</v>
      </c>
      <c r="Q6" s="4">
        <f>P6</f>
        <v>11019.23076923077</v>
      </c>
      <c r="R6" s="4">
        <f>-L6+G6+I6+J6+H6+T6-$V$6</f>
        <v>-149908</v>
      </c>
      <c r="S6" s="4">
        <f>IF(A6&lt;('2. Inputs and results'!$B$21+1),'2. Inputs and results'!$B$79*(R5)," ")</f>
        <v>-3128</v>
      </c>
      <c r="T6" s="4">
        <f>IF(S6&lt;0,S6,0)</f>
        <v>-3128</v>
      </c>
      <c r="U6" s="4">
        <f>IF(A6&lt;('2. Inputs and results'!$B$21+1),U5+(T6+I6+G6+H6+J6-$V$6)/((1+$P$2)^A6),NA())</f>
        <v>-150157.69230769231</v>
      </c>
      <c r="V6" s="4">
        <f>'2. Inputs and results'!$B$75*'2. Inputs and results'!$B$73</f>
        <v>1840</v>
      </c>
      <c r="W6" s="4">
        <f>-L6+C6+Y6-$V$6</f>
        <v>-149908</v>
      </c>
      <c r="X6" s="4">
        <f>IF(A6&lt;('2. Inputs and results'!$B$21+1),'2. Inputs and results'!$B$79*W5," ")</f>
        <v>-3128</v>
      </c>
      <c r="Y6" s="4">
        <f>IF(X6&lt;0,X6,0)</f>
        <v>-3128</v>
      </c>
      <c r="Z6" s="4">
        <f>IF(A6&lt;('2. Inputs and results'!$B$21+1),Z5+(C6-$V$6+Y6)/((1+$P$2)^A6),NA())</f>
        <v>-150157.69230769231</v>
      </c>
      <c r="AA6" s="4">
        <f>IF(A6&lt;('2. Inputs and results'!$B$21+1),AA5+(G6+I6+H6+T6-$V$6)," ")</f>
        <v>6492</v>
      </c>
      <c r="AB6" s="20">
        <f>IF(A6&lt;('2. Inputs and results'!$B$21+1),AA6/L6,NA())</f>
        <v>4.1508951406649619E-2</v>
      </c>
      <c r="AC6" s="29">
        <f>IF(A6&lt;('2. Inputs and results'!$B$21+1),AC5+(C6+Y6-$V$6)," ")</f>
        <v>6492</v>
      </c>
      <c r="AD6" s="20">
        <f>IF(A6&lt;('2. Inputs and results'!$B$21+1),AC6/L6,NA())</f>
        <v>4.1508951406649619E-2</v>
      </c>
      <c r="AE6">
        <f>IF(A6&lt;('2. Inputs and results'!$B$21+1),-'2. Inputs and results'!$B$121*A6," ")</f>
        <v>-20400</v>
      </c>
      <c r="AF6">
        <f>IF(A6&lt;('2. Inputs and results'!$B$21+1),AE6/1000,NA())</f>
        <v>-20.399999999999999</v>
      </c>
    </row>
    <row r="7" spans="1:32" x14ac:dyDescent="0.25">
      <c r="A7">
        <f t="shared" ref="A7:A55" si="0">A6+1</f>
        <v>2</v>
      </c>
      <c r="B7">
        <f>IF(A7&lt;('2. Inputs and results'!$B$21+1),A7," ")</f>
        <v>2</v>
      </c>
      <c r="C7" s="4">
        <f>IF(A7&lt;('2. Inputs and results'!$B$21+1),'2. Inputs and results'!$B$99+'2. Inputs and results'!$B$101," ")</f>
        <v>11460</v>
      </c>
      <c r="D7" s="4">
        <f>IF(A7&lt;('2. Inputs and results'!$B$21+1),D6+C7," ")</f>
        <v>22920</v>
      </c>
      <c r="E7" s="4">
        <f>IF(B7&lt;('2. Inputs and results'!$B$21+1),C7/((1+$P$2)^A7)," ")</f>
        <v>10595.41420118343</v>
      </c>
      <c r="F7" s="4">
        <f>IF(A7&lt;('2. Inputs and results'!$B$21+1),F6+E7," ")</f>
        <v>21614.6449704142</v>
      </c>
      <c r="G7" s="4">
        <f>IF(A7&lt;('2. Inputs and results'!$B$21+1),G6*(1+'2. Inputs and results'!$B$44)," ")</f>
        <v>12051</v>
      </c>
      <c r="H7" s="4">
        <f>IF(A7&lt;('2. Inputs and results'!$B$21+1),H6*(1+'2. Inputs and results'!$B$56)," ")</f>
        <v>0</v>
      </c>
      <c r="I7" s="4">
        <f>IF(A7&lt;('2. Inputs and results'!$B$21+1),I6*(1+'2. Inputs and results'!$B$32)," ")</f>
        <v>-247.20000000000002</v>
      </c>
      <c r="J7" s="4">
        <f>IF(A7&lt;('2. Inputs and results'!$B$21+1),J6*(1+'2. Inputs and results'!$B$66)," ")</f>
        <v>0</v>
      </c>
      <c r="K7" s="4">
        <f>IF('Solution 1, (hidden)'!A7&lt;('2. Inputs and results'!$B$21+1),K6+(G7+I7+H7+J7),NA())</f>
        <v>23263.8</v>
      </c>
      <c r="L7" s="4">
        <f>IF(A7&lt;('2. Inputs and results'!$B$21+1),L6,NA())</f>
        <v>156400</v>
      </c>
      <c r="M7" s="4">
        <f>IF(A7&lt;('2. Inputs and results'!$B$21+1),'2. Inputs and results'!$B$75*'2. Inputs and results'!$B$73," ")</f>
        <v>1840</v>
      </c>
      <c r="N7" s="4">
        <f>IF(A7&lt;('2. Inputs and results'!$B$21+1),M7/((1+$P$2)^A7)," ")</f>
        <v>1701.1834319526624</v>
      </c>
      <c r="O7" s="4">
        <f>IF(A7&lt;('2. Inputs and results'!$B$21+1),'2. Inputs and results'!$B$73*'2. Inputs and results'!$B$75+O6," ")</f>
        <v>158240</v>
      </c>
      <c r="P7" s="4">
        <f>IF(A7&lt;('2. Inputs and results'!$B$21+1),(G7+I7+H7+J7)/((1+$P$2)^A7)," ")</f>
        <v>10913.276627218933</v>
      </c>
      <c r="Q7" s="4">
        <f>IF(A7&lt;('2. Inputs and results'!$B$21+1),Q6+P7," ")</f>
        <v>21932.507396449702</v>
      </c>
      <c r="R7" s="4">
        <f>IF(A7&lt;('2. Inputs and results'!$B$21+1),R6+G7+I7+J7+H7+T7-$V$6,NA())</f>
        <v>-142942.36000000002</v>
      </c>
      <c r="S7" s="4">
        <f>IF(A7&lt;('2. Inputs and results'!$B$21+1),'2. Inputs and results'!$B$79*(R6)," ")</f>
        <v>-2998.16</v>
      </c>
      <c r="T7" s="4">
        <f t="shared" ref="T7:T55" si="1">IF(S7&lt;0,S7,0)</f>
        <v>-2998.16</v>
      </c>
      <c r="U7" s="4">
        <f>IF(A7&lt;('2. Inputs and results'!$B$21+1),U6+(T7+I7+G7+H7+J7-$V$6)/((1+$P$2)^A7),NA())</f>
        <v>-143717.56656804733</v>
      </c>
      <c r="V7" s="4">
        <f>IF(A7&lt;('2. Inputs and results'!$B$21+1),V6+('2. Inputs and results'!$B$75*'2. Inputs and results'!$B$73)," ")</f>
        <v>3680</v>
      </c>
      <c r="W7" s="4">
        <f>IF(A7&lt;('2. Inputs and results'!$B$21+1),W6+C7+Y7-$V$6,NA())</f>
        <v>-143286.16</v>
      </c>
      <c r="X7" s="4">
        <f>IF(A7&lt;('2. Inputs and results'!$B$21+1),'2. Inputs and results'!$B$79*W6," ")</f>
        <v>-2998.16</v>
      </c>
      <c r="Y7" s="4">
        <f t="shared" ref="Y7:Y55" si="2">IF(X7&lt;0,X7,0)</f>
        <v>-2998.16</v>
      </c>
      <c r="Z7" s="4">
        <f>IF(A7&lt;('2. Inputs and results'!$B$21+1),Z6+(C7-$V$6+Y7)/((1+$P$2)^A7),NA())</f>
        <v>-144035.42899408285</v>
      </c>
      <c r="AA7" s="4">
        <f>IF(A7&lt;('2. Inputs and results'!$B$21+1),AA6+(G7+I7+H7+T7-$V$6)," ")</f>
        <v>13457.64</v>
      </c>
      <c r="AB7" s="20">
        <f>IF(A7&lt;('2. Inputs and results'!$B$21+1),AA7/L7,NA())</f>
        <v>8.6046291560102295E-2</v>
      </c>
      <c r="AC7" s="29">
        <f>IF(A7&lt;('2. Inputs and results'!$B$21+1),AC6+(C7+Y7-$V$6)," ")</f>
        <v>13113.84</v>
      </c>
      <c r="AD7" s="20">
        <f>IF(A7&lt;('2. Inputs and results'!$B$21+1),AC7/L7,NA())</f>
        <v>8.384808184143222E-2</v>
      </c>
      <c r="AE7">
        <f>IF(A7&lt;('2. Inputs and results'!$B$21+1),-'2. Inputs and results'!$B$121*A7," ")</f>
        <v>-40800</v>
      </c>
      <c r="AF7">
        <f>IF(A7&lt;('2. Inputs and results'!$B$21+1),AE7/1000,NA())</f>
        <v>-40.799999999999997</v>
      </c>
    </row>
    <row r="8" spans="1:32" x14ac:dyDescent="0.25">
      <c r="A8">
        <f t="shared" si="0"/>
        <v>3</v>
      </c>
      <c r="B8">
        <f>IF(A8&lt;('2. Inputs and results'!$B$21+1),A8," ")</f>
        <v>3</v>
      </c>
      <c r="C8" s="4">
        <f>IF(A8&lt;('2. Inputs and results'!$B$21+1),'2. Inputs and results'!$B$99+'2. Inputs and results'!$B$101," ")</f>
        <v>11460</v>
      </c>
      <c r="D8" s="4">
        <f>IF(A8&lt;('2. Inputs and results'!$B$21+1),D7+C8,NA())</f>
        <v>34380</v>
      </c>
      <c r="E8" s="4">
        <f>IF(B8&lt;('2. Inputs and results'!$B$21+1),C8/((1+$P$2)^A8)," ")</f>
        <v>10187.898270368683</v>
      </c>
      <c r="F8" s="4">
        <f>IF(A8&lt;('2. Inputs and results'!$B$21+1),F7+E8," ")</f>
        <v>31802.543240782885</v>
      </c>
      <c r="G8" s="4">
        <f>IF(A8&lt;('2. Inputs and results'!$B$21+1),G7*(1+'2. Inputs and results'!$B$44)," ")</f>
        <v>12412.53</v>
      </c>
      <c r="H8" s="4">
        <f>IF(A8&lt;('2. Inputs and results'!$B$21+1),H7*(1+'2. Inputs and results'!$B$56)," ")</f>
        <v>0</v>
      </c>
      <c r="I8" s="4">
        <f>IF(A8&lt;('2. Inputs and results'!$B$21+1),I7*(1+'2. Inputs and results'!$B$32)," ")</f>
        <v>-254.61600000000001</v>
      </c>
      <c r="J8" s="4">
        <f>IF(A8&lt;('2. Inputs and results'!$B$21+1),J7*(1+'2. Inputs and results'!$B$66)," ")</f>
        <v>0</v>
      </c>
      <c r="K8" s="4">
        <f>IF('Solution 1, (hidden)'!A8&lt;('2. Inputs and results'!$B$21+1),K7+(G8+I8+H8+J8),NA())</f>
        <v>35421.714</v>
      </c>
      <c r="L8" s="4">
        <f>IF(A8&lt;('2. Inputs and results'!$B$21+1),L7,NA())</f>
        <v>156400</v>
      </c>
      <c r="M8" s="4">
        <f>IF(A8&lt;('2. Inputs and results'!$B$21+1),'2. Inputs and results'!$B$75*'2. Inputs and results'!$B$73," ")</f>
        <v>1840</v>
      </c>
      <c r="N8" s="4">
        <f>IF(A8&lt;('2. Inputs and results'!$B$21+1),M8/((1+$P$2)^A8)," ")</f>
        <v>1635.7532999544833</v>
      </c>
      <c r="O8" s="4">
        <f>IF(A8&lt;('2. Inputs and results'!$B$21+1),'2. Inputs and results'!$B$73*'2. Inputs and results'!$B$75+O7," ")</f>
        <v>160080</v>
      </c>
      <c r="P8" s="4">
        <f>IF(A8&lt;('2. Inputs and results'!$B$21+1),(G8+I8+H8+J8)/((1+$P$2)^A8)," ")</f>
        <v>10808.341275034138</v>
      </c>
      <c r="Q8" s="4">
        <f>IF(A8&lt;('2. Inputs and results'!$B$21+1),Q7+P8," ")</f>
        <v>32740.84867148384</v>
      </c>
      <c r="R8" s="4">
        <f>IF(A8&lt;('2. Inputs and results'!$B$21+1),R7+G8+I8+J8+H8+T8-$V$6,NA())</f>
        <v>-135483.29320000001</v>
      </c>
      <c r="S8" s="4">
        <f>IF(A8&lt;('2. Inputs and results'!$B$21+1),'2. Inputs and results'!$B$79*(R7)," ")</f>
        <v>-2858.8472000000002</v>
      </c>
      <c r="T8" s="4">
        <f t="shared" si="1"/>
        <v>-2858.8472000000002</v>
      </c>
      <c r="U8" s="4">
        <f>IF(A8&lt;('2. Inputs and results'!$B$21+1),U7+(T8+I8+G8+H8+J8-$V$6)/((1+$P$2)^A8),NA())</f>
        <v>-137086.48334376421</v>
      </c>
      <c r="V8" s="4">
        <f>IF(A8&lt;('2. Inputs and results'!$B$21+1),V7+('2. Inputs and results'!$B$75*'2. Inputs and results'!$B$73)," ")</f>
        <v>5520</v>
      </c>
      <c r="W8" s="4">
        <f>IF(A8&lt;('2. Inputs and results'!$B$21+1),W7+C8+Y8-$V$6,NA())</f>
        <v>-136531.88320000001</v>
      </c>
      <c r="X8" s="4">
        <f>IF(A8&lt;('2. Inputs and results'!$B$21+1),'2. Inputs and results'!$B$79*W7," ")</f>
        <v>-2865.7231999999999</v>
      </c>
      <c r="Y8" s="4">
        <f t="shared" si="2"/>
        <v>-2865.7231999999999</v>
      </c>
      <c r="Z8" s="4">
        <f>IF(A8&lt;('2. Inputs and results'!$B$21+1),Z7+(C8-$V$6+Y8)/((1+$P$2)^A8),NA())</f>
        <v>-138030.90151342741</v>
      </c>
      <c r="AA8" s="4">
        <f>IF(A8&lt;('2. Inputs and results'!$B$21+1),AA7+(G8+I8+H8+T8-$V$6)," ")</f>
        <v>20916.7068</v>
      </c>
      <c r="AB8" s="20">
        <f>IF(A8&lt;('2. Inputs and results'!$B$21+1),AA8/L8,NA())</f>
        <v>0.13373853452685422</v>
      </c>
      <c r="AC8" s="29">
        <f>IF(A8&lt;('2. Inputs and results'!$B$21+1),AC7+(C8+Y8-$V$6)," ")</f>
        <v>19868.1168</v>
      </c>
      <c r="AD8" s="20">
        <f>IF(A8&lt;('2. Inputs and results'!$B$21+1),AC8/L8,NA())</f>
        <v>0.12703399488491049</v>
      </c>
      <c r="AE8">
        <f>IF(A8&lt;('2. Inputs and results'!$B$21+1),-'2. Inputs and results'!$B$121*A8," ")</f>
        <v>-61200</v>
      </c>
      <c r="AF8">
        <f>IF(A8&lt;('2. Inputs and results'!$B$21+1),AE8/1000,NA())</f>
        <v>-61.2</v>
      </c>
    </row>
    <row r="9" spans="1:32" x14ac:dyDescent="0.25">
      <c r="A9">
        <f t="shared" si="0"/>
        <v>4</v>
      </c>
      <c r="B9">
        <f>IF(A9&lt;('2. Inputs and results'!$B$21+1),A9," ")</f>
        <v>4</v>
      </c>
      <c r="C9" s="4">
        <f>IF(A9&lt;('2. Inputs and results'!$B$21+1),'2. Inputs and results'!$B$99+'2. Inputs and results'!$B$101," ")</f>
        <v>11460</v>
      </c>
      <c r="D9" s="4">
        <f>IF(A9&lt;('2. Inputs and results'!$B$21+1),D8+C9,NA())</f>
        <v>45840</v>
      </c>
      <c r="E9" s="4">
        <f>IF(B9&lt;('2. Inputs and results'!$B$21+1),C9/((1+$P$2)^A9)," ")</f>
        <v>9796.0560292006558</v>
      </c>
      <c r="F9" s="4">
        <f>IF(A9&lt;('2. Inputs and results'!$B$21+1),F8+E9," ")</f>
        <v>41598.599269983541</v>
      </c>
      <c r="G9" s="4">
        <f>IF(A9&lt;('2. Inputs and results'!$B$21+1),G8*(1+'2. Inputs and results'!$B$44)," ")</f>
        <v>12784.905900000002</v>
      </c>
      <c r="H9" s="4">
        <f>IF(A9&lt;('2. Inputs and results'!$B$21+1),H8*(1+'2. Inputs and results'!$B$56)," ")</f>
        <v>0</v>
      </c>
      <c r="I9" s="4">
        <f>IF(A9&lt;('2. Inputs and results'!$B$21+1),I8*(1+'2. Inputs and results'!$B$32)," ")</f>
        <v>-262.25448</v>
      </c>
      <c r="J9" s="4">
        <f>IF(A9&lt;('2. Inputs and results'!$B$21+1),J8*(1+'2. Inputs and results'!$B$66)," ")</f>
        <v>0</v>
      </c>
      <c r="K9" s="4">
        <f>IF('Solution 1, (hidden)'!A9&lt;('2. Inputs and results'!$B$21+1),K8+(G9+I9+H9+J9),NA())</f>
        <v>47944.365420000002</v>
      </c>
      <c r="L9" s="4">
        <f>IF(A9&lt;('2. Inputs and results'!$B$21+1),L8,NA())</f>
        <v>156400</v>
      </c>
      <c r="M9" s="4">
        <f>IF(A9&lt;('2. Inputs and results'!$B$21+1),'2. Inputs and results'!$B$75*'2. Inputs and results'!$B$73," ")</f>
        <v>1840</v>
      </c>
      <c r="N9" s="4">
        <f>IF(A9&lt;('2. Inputs and results'!$B$21+1),M9/((1+$P$2)^A9)," ")</f>
        <v>1572.8397114946952</v>
      </c>
      <c r="O9" s="4">
        <f>IF(A9&lt;('2. Inputs and results'!$B$21+1),'2. Inputs and results'!$B$73*'2. Inputs and results'!$B$75+O8," ")</f>
        <v>161920</v>
      </c>
      <c r="P9" s="4">
        <f>IF(A9&lt;('2. Inputs and results'!$B$21+1),(G9+I9+H9+J9)/((1+$P$2)^A9)," ")</f>
        <v>10704.414916620348</v>
      </c>
      <c r="Q9" s="4">
        <f>IF(A9&lt;('2. Inputs and results'!$B$21+1),Q8+P9," ")</f>
        <v>43445.263588104186</v>
      </c>
      <c r="R9" s="4">
        <f>IF(A9&lt;('2. Inputs and results'!$B$21+1),R8+G9+I9+J9+H9+T9-$V$6,NA())</f>
        <v>-127510.30764400001</v>
      </c>
      <c r="S9" s="4">
        <f>IF(A9&lt;('2. Inputs and results'!$B$21+1),'2. Inputs and results'!$B$79*(R8)," ")</f>
        <v>-2709.6658640000005</v>
      </c>
      <c r="T9" s="4">
        <f t="shared" si="1"/>
        <v>-2709.6658640000005</v>
      </c>
      <c r="U9" s="4">
        <f>IF(A9&lt;('2. Inputs and results'!$B$21+1),U8+(T9+I9+G9+H9+J9-$V$6)/((1+$P$2)^A9),NA())</f>
        <v>-130271.14187547594</v>
      </c>
      <c r="V9" s="4">
        <f>IF(A9&lt;('2. Inputs and results'!$B$21+1),V8+('2. Inputs and results'!$B$75*'2. Inputs and results'!$B$73)," ")</f>
        <v>7360</v>
      </c>
      <c r="W9" s="4">
        <f>IF(A9&lt;('2. Inputs and results'!$B$21+1),W8+C9+Y9-$V$6,NA())</f>
        <v>-129642.52086400001</v>
      </c>
      <c r="X9" s="4">
        <f>IF(A9&lt;('2. Inputs and results'!$B$21+1),'2. Inputs and results'!$B$79*W8," ")</f>
        <v>-2730.6376640000003</v>
      </c>
      <c r="Y9" s="4">
        <f t="shared" si="2"/>
        <v>-2730.6376640000003</v>
      </c>
      <c r="Z9" s="4">
        <f>IF(A9&lt;('2. Inputs and results'!$B$21+1),Z8+(C9-$V$6+Y9)/((1+$P$2)^A9),NA())</f>
        <v>-132141.84571509226</v>
      </c>
      <c r="AA9" s="4">
        <f>IF(A9&lt;('2. Inputs and results'!$B$21+1),AA8+(G9+I9+H9+T9-$V$6)," ")</f>
        <v>28889.692356</v>
      </c>
      <c r="AB9" s="20">
        <f>IF(A9&lt;('2. Inputs and results'!$B$21+1),AA9/L9,NA())</f>
        <v>0.18471670304347826</v>
      </c>
      <c r="AC9" s="29">
        <f>IF(A9&lt;('2. Inputs and results'!$B$21+1),AC8+(C9+Y9-$V$6)," ")</f>
        <v>26757.479136000002</v>
      </c>
      <c r="AD9" s="20">
        <f>IF(A9&lt;('2. Inputs and results'!$B$21+1),AC9/L9,NA())</f>
        <v>0.17108362618925832</v>
      </c>
      <c r="AE9">
        <f>IF(A9&lt;('2. Inputs and results'!$B$21+1),-'2. Inputs and results'!$B$121*A9," ")</f>
        <v>-81600</v>
      </c>
      <c r="AF9">
        <f>IF(A9&lt;('2. Inputs and results'!$B$21+1),AE9/1000,NA())</f>
        <v>-81.599999999999994</v>
      </c>
    </row>
    <row r="10" spans="1:32" x14ac:dyDescent="0.25">
      <c r="A10">
        <f t="shared" si="0"/>
        <v>5</v>
      </c>
      <c r="B10">
        <f>IF(A10&lt;('2. Inputs and results'!$B$21+1),A10," ")</f>
        <v>5</v>
      </c>
      <c r="C10" s="4">
        <f>IF(A10&lt;('2. Inputs and results'!$B$21+1),'2. Inputs and results'!$B$99+'2. Inputs and results'!$B$101," ")</f>
        <v>11460</v>
      </c>
      <c r="D10" s="4">
        <f>IF(A10&lt;('2. Inputs and results'!$B$21+1),D9+C10,NA())</f>
        <v>57300</v>
      </c>
      <c r="E10" s="4">
        <f>IF(B10&lt;('2. Inputs and results'!$B$21+1),C10/((1+$P$2)^A10)," ")</f>
        <v>9419.2846434621679</v>
      </c>
      <c r="F10" s="4">
        <f>IF(A10&lt;('2. Inputs and results'!$B$21+1),F9+E10," ")</f>
        <v>51017.883913445708</v>
      </c>
      <c r="G10" s="4">
        <f>IF(A10&lt;('2. Inputs and results'!$B$21+1),G9*(1+'2. Inputs and results'!$B$44)," ")</f>
        <v>13168.453077000002</v>
      </c>
      <c r="H10" s="4">
        <f>IF(A10&lt;('2. Inputs and results'!$B$21+1),H9*(1+'2. Inputs and results'!$B$56)," ")</f>
        <v>0</v>
      </c>
      <c r="I10" s="4">
        <f>IF(A10&lt;('2. Inputs and results'!$B$21+1),I9*(1+'2. Inputs and results'!$B$32)," ")</f>
        <v>-270.12211439999999</v>
      </c>
      <c r="J10" s="4">
        <f>IF(A10&lt;('2. Inputs and results'!$B$21+1),J9*(1+'2. Inputs and results'!$B$66)," ")</f>
        <v>0</v>
      </c>
      <c r="K10" s="4">
        <f>IF('Solution 1, (hidden)'!A10&lt;('2. Inputs and results'!$B$21+1),K9+(G10+I10+H10+J10),NA())</f>
        <v>60842.696382600006</v>
      </c>
      <c r="L10" s="4">
        <f>IF(A10&lt;('2. Inputs and results'!$B$21+1),L9,NA())</f>
        <v>156400</v>
      </c>
      <c r="M10" s="4">
        <f>IF(A10&lt;('2. Inputs and results'!$B$21+1),'2. Inputs and results'!$B$75*'2. Inputs and results'!$B$73," ")</f>
        <v>1840</v>
      </c>
      <c r="N10" s="4">
        <f>IF(A10&lt;('2. Inputs and results'!$B$21+1),M10/((1+$P$2)^A10)," ")</f>
        <v>1512.3458764372069</v>
      </c>
      <c r="O10" s="4">
        <f>IF(A10&lt;('2. Inputs and results'!$B$21+1),'2. Inputs and results'!$B$73*'2. Inputs and results'!$B$75+O9," ")</f>
        <v>163760</v>
      </c>
      <c r="P10" s="4">
        <f>IF(A10&lt;('2. Inputs and results'!$B$21+1),(G10+I10+H10+J10)/((1+$P$2)^A10)," ")</f>
        <v>10601.487850114381</v>
      </c>
      <c r="Q10" s="4">
        <f>IF(A10&lt;('2. Inputs and results'!$B$21+1),Q9+P10," ")</f>
        <v>54046.751438218569</v>
      </c>
      <c r="R10" s="4">
        <f>IF(A10&lt;('2. Inputs and results'!$B$21+1),R9+G10+I10+J10+H10+T10-$V$6,NA())</f>
        <v>-119002.18283428001</v>
      </c>
      <c r="S10" s="4">
        <f>IF(A10&lt;('2. Inputs and results'!$B$21+1),'2. Inputs and results'!$B$79*(R9)," ")</f>
        <v>-2550.2061528800004</v>
      </c>
      <c r="T10" s="4">
        <f t="shared" si="1"/>
        <v>-2550.2061528800004</v>
      </c>
      <c r="U10" s="4">
        <f>IF(A10&lt;('2. Inputs and results'!$B$21+1),U9+(T10+I10+G10+H10+J10-$V$6)/((1+$P$2)^A10),NA())</f>
        <v>-123278.08346667532</v>
      </c>
      <c r="V10" s="4">
        <f>IF(A10&lt;('2. Inputs and results'!$B$21+1),V9+('2. Inputs and results'!$B$75*'2. Inputs and results'!$B$73)," ")</f>
        <v>9200</v>
      </c>
      <c r="W10" s="4">
        <f>IF(A10&lt;('2. Inputs and results'!$B$21+1),W9+C10+Y10-$V$6,NA())</f>
        <v>-122615.37128128001</v>
      </c>
      <c r="X10" s="4">
        <f>IF(A10&lt;('2. Inputs and results'!$B$21+1),'2. Inputs and results'!$B$79*W9," ")</f>
        <v>-2592.8504172800003</v>
      </c>
      <c r="Y10" s="4">
        <f t="shared" si="2"/>
        <v>-2592.8504172800003</v>
      </c>
      <c r="Z10" s="4">
        <f>IF(A10&lt;('2. Inputs and results'!$B$21+1),Z9+(C10-$V$6+Y10)/((1+$P$2)^A10),NA())</f>
        <v>-126366.04098980203</v>
      </c>
      <c r="AA10" s="4">
        <f>IF(A10&lt;('2. Inputs and results'!$B$21+1),AA9+(G10+I10+H10+T10-$V$6)," ")</f>
        <v>37397.81716572</v>
      </c>
      <c r="AB10" s="20">
        <f>IF(A10&lt;('2. Inputs and results'!$B$21+1),AA10/L10,NA())</f>
        <v>0.23911647804168798</v>
      </c>
      <c r="AC10" s="29">
        <f>IF(A10&lt;('2. Inputs and results'!$B$21+1),AC9+(C10+Y10-$V$6)," ")</f>
        <v>33784.62871872</v>
      </c>
      <c r="AD10" s="20">
        <f>IF(A10&lt;('2. Inputs and results'!$B$21+1),AC10/L10,NA())</f>
        <v>0.21601425011969308</v>
      </c>
      <c r="AE10">
        <f>IF(A10&lt;('2. Inputs and results'!$B$21+1),-'2. Inputs and results'!$B$121*A10," ")</f>
        <v>-102000</v>
      </c>
      <c r="AF10">
        <f>IF(A10&lt;('2. Inputs and results'!$B$21+1),AE10/1000,NA())</f>
        <v>-102</v>
      </c>
    </row>
    <row r="11" spans="1:32" x14ac:dyDescent="0.25">
      <c r="A11">
        <f t="shared" si="0"/>
        <v>6</v>
      </c>
      <c r="B11">
        <f>IF(A11&lt;('2. Inputs and results'!$B$21+1),A11," ")</f>
        <v>6</v>
      </c>
      <c r="C11" s="4">
        <f>IF(A11&lt;('2. Inputs and results'!$B$21+1),'2. Inputs and results'!$B$99+'2. Inputs and results'!$B$101," ")</f>
        <v>11460</v>
      </c>
      <c r="D11" s="4">
        <f>IF(A11&lt;('2. Inputs and results'!$B$21+1),D10+C11,NA())</f>
        <v>68760</v>
      </c>
      <c r="E11" s="4">
        <f>IF(B11&lt;('2. Inputs and results'!$B$21+1),C11/((1+$P$2)^A11)," ")</f>
        <v>9057.0044648674702</v>
      </c>
      <c r="F11" s="4">
        <f>IF(A11&lt;('2. Inputs and results'!$B$21+1),F10+E11," ")</f>
        <v>60074.888378313175</v>
      </c>
      <c r="G11" s="4">
        <f>IF(A11&lt;('2. Inputs and results'!$B$21+1),G10*(1+'2. Inputs and results'!$B$44)," ")</f>
        <v>13563.506669310002</v>
      </c>
      <c r="H11" s="4">
        <f>IF(A11&lt;('2. Inputs and results'!$B$21+1),H10*(1+'2. Inputs and results'!$B$56)," ")</f>
        <v>0</v>
      </c>
      <c r="I11" s="4">
        <f>IF(A11&lt;('2. Inputs and results'!$B$21+1),I10*(1+'2. Inputs and results'!$B$32)," ")</f>
        <v>-278.22577783200001</v>
      </c>
      <c r="J11" s="4">
        <f>IF(A11&lt;('2. Inputs and results'!$B$21+1),J10*(1+'2. Inputs and results'!$B$66)," ")</f>
        <v>0</v>
      </c>
      <c r="K11" s="4">
        <f>IF('Solution 1, (hidden)'!A11&lt;('2. Inputs and results'!$B$21+1),K10+(G11+I11+H11+J11),NA())</f>
        <v>74127.977274078003</v>
      </c>
      <c r="L11" s="4">
        <f>IF(A11&lt;('2. Inputs and results'!$B$21+1),L10,NA())</f>
        <v>156400</v>
      </c>
      <c r="M11" s="4">
        <f>IF(A11&lt;('2. Inputs and results'!$B$21+1),'2. Inputs and results'!$B$75*'2. Inputs and results'!$B$73," ")</f>
        <v>1840</v>
      </c>
      <c r="N11" s="4">
        <f>IF(A11&lt;('2. Inputs and results'!$B$21+1),M11/((1+$P$2)^A11)," ")</f>
        <v>1454.1787273434682</v>
      </c>
      <c r="O11" s="4">
        <f>IF(A11&lt;('2. Inputs and results'!$B$21+1),'2. Inputs and results'!$B$73*'2. Inputs and results'!$B$75+O10," ")</f>
        <v>165600</v>
      </c>
      <c r="P11" s="4">
        <f>IF(A11&lt;('2. Inputs and results'!$B$21+1),(G11+I11+H11+J11)/((1+$P$2)^A11)," ")</f>
        <v>10499.550466940203</v>
      </c>
      <c r="Q11" s="4">
        <f>IF(A11&lt;('2. Inputs and results'!$B$21+1),Q10+P11," ")</f>
        <v>64546.301905158776</v>
      </c>
      <c r="R11" s="4">
        <f>IF(A11&lt;('2. Inputs and results'!$B$21+1),R10+G11+I11+J11+H11+T11-$V$6,NA())</f>
        <v>-109936.9455994876</v>
      </c>
      <c r="S11" s="4">
        <f>IF(A11&lt;('2. Inputs and results'!$B$21+1),'2. Inputs and results'!$B$79*(R10)," ")</f>
        <v>-2380.0436566856001</v>
      </c>
      <c r="T11" s="4">
        <f t="shared" si="1"/>
        <v>-2380.0436566856001</v>
      </c>
      <c r="U11" s="4">
        <f>IF(A11&lt;('2. Inputs and results'!$B$21+1),U10+(T11+I11+G11+H11+J11-$V$6)/((1+$P$2)^A11),NA())</f>
        <v>-116113.69480082911</v>
      </c>
      <c r="V11" s="4">
        <f>IF(A11&lt;('2. Inputs and results'!$B$21+1),V10+('2. Inputs and results'!$B$75*'2. Inputs and results'!$B$73)," ")</f>
        <v>11040</v>
      </c>
      <c r="W11" s="4">
        <f>IF(A11&lt;('2. Inputs and results'!$B$21+1),W10+C11+Y11-$V$6,NA())</f>
        <v>-115447.6787069056</v>
      </c>
      <c r="X11" s="4">
        <f>IF(A11&lt;('2. Inputs and results'!$B$21+1),'2. Inputs and results'!$B$79*W10," ")</f>
        <v>-2452.3074256256</v>
      </c>
      <c r="Y11" s="4">
        <f t="shared" si="2"/>
        <v>-2452.3074256256</v>
      </c>
      <c r="Z11" s="4">
        <f>IF(A11&lt;('2. Inputs and results'!$B$21+1),Z10+(C11-$V$6+Y11)/((1+$P$2)^A11),NA())</f>
        <v>-120701.30943230583</v>
      </c>
      <c r="AA11" s="4">
        <f>IF(A11&lt;('2. Inputs and results'!$B$21+1),AA10+(G11+I11+H11+T11-$V$6)," ")</f>
        <v>46463.054400512403</v>
      </c>
      <c r="AB11" s="20">
        <f>IF(A11&lt;('2. Inputs and results'!$B$21+1),AA11/L11,NA())</f>
        <v>0.29707835294445273</v>
      </c>
      <c r="AC11" s="29">
        <f>IF(A11&lt;('2. Inputs and results'!$B$21+1),AC10+(C11+Y11-$V$6)," ")</f>
        <v>40952.321293094399</v>
      </c>
      <c r="AD11" s="20">
        <f>IF(A11&lt;('2. Inputs and results'!$B$21+1),AC11/L11,NA())</f>
        <v>0.26184348652873657</v>
      </c>
      <c r="AE11">
        <f>IF(A11&lt;('2. Inputs and results'!$B$21+1),-'2. Inputs and results'!$B$121*A11," ")</f>
        <v>-122400</v>
      </c>
      <c r="AF11">
        <f>IF(A11&lt;('2. Inputs and results'!$B$21+1),AE11/1000,NA())</f>
        <v>-122.4</v>
      </c>
    </row>
    <row r="12" spans="1:32" x14ac:dyDescent="0.25">
      <c r="A12">
        <f t="shared" si="0"/>
        <v>7</v>
      </c>
      <c r="B12">
        <f>IF(A12&lt;('2. Inputs and results'!$B$21+1),A12," ")</f>
        <v>7</v>
      </c>
      <c r="C12" s="4">
        <f>IF(A12&lt;('2. Inputs and results'!$B$21+1),'2. Inputs and results'!$B$99+'2. Inputs and results'!$B$101," ")</f>
        <v>11460</v>
      </c>
      <c r="D12" s="4">
        <f>IF(A12&lt;('2. Inputs and results'!$B$21+1),D11+C12,NA())</f>
        <v>80220</v>
      </c>
      <c r="E12" s="4">
        <f>IF(B12&lt;('2. Inputs and results'!$B$21+1),C12/((1+$P$2)^A12)," ")</f>
        <v>8708.658139295645</v>
      </c>
      <c r="F12" s="4">
        <f>IF(A12&lt;('2. Inputs and results'!$B$21+1),F11+E12," ")</f>
        <v>68783.546517608818</v>
      </c>
      <c r="G12" s="4">
        <f>IF(A12&lt;('2. Inputs and results'!$B$21+1),G11*(1+'2. Inputs and results'!$B$44)," ")</f>
        <v>13970.411869389302</v>
      </c>
      <c r="H12" s="4">
        <f>IF(A12&lt;('2. Inputs and results'!$B$21+1),H11*(1+'2. Inputs and results'!$B$56)," ")</f>
        <v>0</v>
      </c>
      <c r="I12" s="4">
        <f>IF(A12&lt;('2. Inputs and results'!$B$21+1),I11*(1+'2. Inputs and results'!$B$32)," ")</f>
        <v>-286.57255116696001</v>
      </c>
      <c r="J12" s="4">
        <f>IF(A12&lt;('2. Inputs and results'!$B$21+1),J11*(1+'2. Inputs and results'!$B$66)," ")</f>
        <v>0</v>
      </c>
      <c r="K12" s="4">
        <f>IF('Solution 1, (hidden)'!A12&lt;('2. Inputs and results'!$B$21+1),K11+(G12+I12+H12+J12),NA())</f>
        <v>87811.81659230034</v>
      </c>
      <c r="L12" s="4">
        <f>IF(A12&lt;('2. Inputs and results'!$B$21+1),L11,NA())</f>
        <v>156400</v>
      </c>
      <c r="M12" s="4">
        <f>IF(A12&lt;('2. Inputs and results'!$B$21+1),'2. Inputs and results'!$B$75*'2. Inputs and results'!$B$73," ")</f>
        <v>1840</v>
      </c>
      <c r="N12" s="4">
        <f>IF(A12&lt;('2. Inputs and results'!$B$21+1),M12/((1+$P$2)^A12)," ")</f>
        <v>1398.2487762917963</v>
      </c>
      <c r="O12" s="4">
        <f>IF(A12&lt;('2. Inputs and results'!$B$21+1),'2. Inputs and results'!$B$73*'2. Inputs and results'!$B$75+O11," ")</f>
        <v>167440</v>
      </c>
      <c r="P12" s="4">
        <f>IF(A12&lt;('2. Inputs and results'!$B$21+1),(G12+I12+H12+J12)/((1+$P$2)^A12)," ")</f>
        <v>10398.593250911934</v>
      </c>
      <c r="Q12" s="4">
        <f>IF(A12&lt;('2. Inputs and results'!$B$21+1),Q11+P12," ")</f>
        <v>74944.895156070706</v>
      </c>
      <c r="R12" s="4">
        <f>IF(A12&lt;('2. Inputs and results'!$B$21+1),R11+G12+I12+J12+H12+T12-$V$6,NA())</f>
        <v>-100291.84519325502</v>
      </c>
      <c r="S12" s="4">
        <f>IF(A12&lt;('2. Inputs and results'!$B$21+1),'2. Inputs and results'!$B$79*(R11)," ")</f>
        <v>-2198.7389119897521</v>
      </c>
      <c r="T12" s="4">
        <f t="shared" si="1"/>
        <v>-2198.7389119897521</v>
      </c>
      <c r="U12" s="4">
        <f>IF(A12&lt;('2. Inputs and results'!$B$21+1),U11+(T12+I12+G12+H12+J12-$V$6)/((1+$P$2)^A12),NA())</f>
        <v>-108784.21119201051</v>
      </c>
      <c r="V12" s="4">
        <f>IF(A12&lt;('2. Inputs and results'!$B$21+1),V11+('2. Inputs and results'!$B$75*'2. Inputs and results'!$B$73)," ")</f>
        <v>12880</v>
      </c>
      <c r="W12" s="4">
        <f>IF(A12&lt;('2. Inputs and results'!$B$21+1),W11+C12+Y12-$V$6,NA())</f>
        <v>-108136.63228104371</v>
      </c>
      <c r="X12" s="4">
        <f>IF(A12&lt;('2. Inputs and results'!$B$21+1),'2. Inputs and results'!$B$79*W11," ")</f>
        <v>-2308.9535741381119</v>
      </c>
      <c r="Y12" s="4">
        <f t="shared" si="2"/>
        <v>-2308.9535741381119</v>
      </c>
      <c r="Z12" s="4">
        <f>IF(A12&lt;('2. Inputs and results'!$B$21+1),Z11+(C12-$V$6+Y12)/((1+$P$2)^A12),NA())</f>
        <v>-115145.51502014611</v>
      </c>
      <c r="AA12" s="4">
        <f>IF(A12&lt;('2. Inputs and results'!$B$21+1),AA11+(G12+I12+H12+T12-$V$6)," ")</f>
        <v>56108.154806744991</v>
      </c>
      <c r="AB12" s="20">
        <f>IF(A12&lt;('2. Inputs and results'!$B$21+1),AA12/L12,NA())</f>
        <v>0.3587477928820012</v>
      </c>
      <c r="AC12" s="29">
        <f>IF(A12&lt;('2. Inputs and results'!$B$21+1),AC11+(C12+Y12-$V$6)," ")</f>
        <v>48263.367718956288</v>
      </c>
      <c r="AD12" s="20">
        <f>IF(A12&lt;('2. Inputs and results'!$B$21+1),AC12/L12,NA())</f>
        <v>0.30858930766596093</v>
      </c>
      <c r="AE12">
        <f>IF(A12&lt;('2. Inputs and results'!$B$21+1),-'2. Inputs and results'!$B$121*A12," ")</f>
        <v>-142800</v>
      </c>
      <c r="AF12">
        <f>IF(A12&lt;('2. Inputs and results'!$B$21+1),AE12/1000,NA())</f>
        <v>-142.80000000000001</v>
      </c>
    </row>
    <row r="13" spans="1:32" x14ac:dyDescent="0.25">
      <c r="A13">
        <f t="shared" si="0"/>
        <v>8</v>
      </c>
      <c r="B13">
        <f>IF(A13&lt;('2. Inputs and results'!$B$21+1),A13," ")</f>
        <v>8</v>
      </c>
      <c r="C13" s="4">
        <f>IF(A13&lt;('2. Inputs and results'!$B$21+1),'2. Inputs and results'!$B$99+'2. Inputs and results'!$B$101," ")</f>
        <v>11460</v>
      </c>
      <c r="D13" s="4">
        <f>IF(A13&lt;('2. Inputs and results'!$B$21+1),D12+C13,NA())</f>
        <v>91680</v>
      </c>
      <c r="E13" s="4">
        <f>IF(B13&lt;('2. Inputs and results'!$B$21+1),C13/((1+$P$2)^A13)," ")</f>
        <v>8373.7097493227338</v>
      </c>
      <c r="F13" s="4">
        <f>IF(A13&lt;('2. Inputs and results'!$B$21+1),F12+E13," ")</f>
        <v>77157.256266931552</v>
      </c>
      <c r="G13" s="4">
        <f>IF(A13&lt;('2. Inputs and results'!$B$21+1),G12*(1+'2. Inputs and results'!$B$44)," ")</f>
        <v>14389.524225470981</v>
      </c>
      <c r="H13" s="4">
        <f>IF(A13&lt;('2. Inputs and results'!$B$21+1),H12*(1+'2. Inputs and results'!$B$56)," ")</f>
        <v>0</v>
      </c>
      <c r="I13" s="4">
        <f>IF(A13&lt;('2. Inputs and results'!$B$21+1),I12*(1+'2. Inputs and results'!$B$32)," ")</f>
        <v>-295.16972770196884</v>
      </c>
      <c r="J13" s="4">
        <f>IF(A13&lt;('2. Inputs and results'!$B$21+1),J12*(1+'2. Inputs and results'!$B$66)," ")</f>
        <v>0</v>
      </c>
      <c r="K13" s="4">
        <f>IF('Solution 1, (hidden)'!A13&lt;('2. Inputs and results'!$B$21+1),K12+(G13+I13+H13+J13),NA())</f>
        <v>101906.17109006936</v>
      </c>
      <c r="L13" s="4">
        <f>IF(A13&lt;('2. Inputs and results'!$B$21+1),L12,NA())</f>
        <v>156400</v>
      </c>
      <c r="M13" s="4">
        <f>IF(A13&lt;('2. Inputs and results'!$B$21+1),'2. Inputs and results'!$B$75*'2. Inputs and results'!$B$73," ")</f>
        <v>1840</v>
      </c>
      <c r="N13" s="4">
        <f>IF(A13&lt;('2. Inputs and results'!$B$21+1),M13/((1+$P$2)^A13)," ")</f>
        <v>1344.4699772036502</v>
      </c>
      <c r="O13" s="4">
        <f>IF(A13&lt;('2. Inputs and results'!$B$21+1),'2. Inputs and results'!$B$73*'2. Inputs and results'!$B$75+O12," ")</f>
        <v>169280</v>
      </c>
      <c r="P13" s="4">
        <f>IF(A13&lt;('2. Inputs and results'!$B$21+1),(G13+I13+H13+J13)/((1+$P$2)^A13)," ")</f>
        <v>10298.606777345472</v>
      </c>
      <c r="Q13" s="4">
        <f>IF(A13&lt;('2. Inputs and results'!$B$21+1),Q12+P13," ")</f>
        <v>85243.501933416177</v>
      </c>
      <c r="R13" s="4">
        <f>IF(A13&lt;('2. Inputs and results'!$B$21+1),R12+G13+I13+J13+H13+T13-$V$6,NA())</f>
        <v>-90043.327599351105</v>
      </c>
      <c r="S13" s="4">
        <f>IF(A13&lt;('2. Inputs and results'!$B$21+1),'2. Inputs and results'!$B$79*(R12)," ")</f>
        <v>-2005.8369038651006</v>
      </c>
      <c r="T13" s="4">
        <f t="shared" si="1"/>
        <v>-2005.8369038651006</v>
      </c>
      <c r="U13" s="4">
        <f>IF(A13&lt;('2. Inputs and results'!$B$21+1),U12+(T13+I13+G13+H13+J13-$V$6)/((1+$P$2)^A13),NA())</f>
        <v>-101295.71977035442</v>
      </c>
      <c r="V13" s="4">
        <f>IF(A13&lt;('2. Inputs and results'!$B$21+1),V12+('2. Inputs and results'!$B$75*'2. Inputs and results'!$B$73)," ")</f>
        <v>14720</v>
      </c>
      <c r="W13" s="4">
        <f>IF(A13&lt;('2. Inputs and results'!$B$21+1),W12+C13+Y13-$V$6,NA())</f>
        <v>-100679.36492666458</v>
      </c>
      <c r="X13" s="4">
        <f>IF(A13&lt;('2. Inputs and results'!$B$21+1),'2. Inputs and results'!$B$79*W12," ")</f>
        <v>-2162.7326456208743</v>
      </c>
      <c r="Y13" s="4">
        <f t="shared" si="2"/>
        <v>-2162.7326456208743</v>
      </c>
      <c r="Z13" s="4">
        <f>IF(A13&lt;('2. Inputs and results'!$B$21+1),Z12+(C13-$V$6+Y13)/((1+$P$2)^A13),NA())</f>
        <v>-109696.56280822022</v>
      </c>
      <c r="AA13" s="4">
        <f>IF(A13&lt;('2. Inputs and results'!$B$21+1),AA12+(G13+I13+H13+T13-$V$6)," ")</f>
        <v>66356.672400648909</v>
      </c>
      <c r="AB13" s="20">
        <f>IF(A13&lt;('2. Inputs and results'!$B$21+1),AA13/L13,NA())</f>
        <v>0.42427539898113115</v>
      </c>
      <c r="AC13" s="29">
        <f>IF(A13&lt;('2. Inputs and results'!$B$21+1),AC12+(C13+Y13-$V$6)," ")</f>
        <v>55720.635073335412</v>
      </c>
      <c r="AD13" s="20">
        <f>IF(A13&lt;('2. Inputs and results'!$B$21+1),AC13/L13,NA())</f>
        <v>0.35627004522592975</v>
      </c>
      <c r="AE13">
        <f>IF(A13&lt;('2. Inputs and results'!$B$21+1),-'2. Inputs and results'!$B$121*A13," ")</f>
        <v>-163200</v>
      </c>
      <c r="AF13">
        <f>IF(A13&lt;('2. Inputs and results'!$B$21+1),AE13/1000,NA())</f>
        <v>-163.19999999999999</v>
      </c>
    </row>
    <row r="14" spans="1:32" x14ac:dyDescent="0.25">
      <c r="A14">
        <f t="shared" si="0"/>
        <v>9</v>
      </c>
      <c r="B14">
        <f>IF(A14&lt;('2. Inputs and results'!$B$21+1),A14," ")</f>
        <v>9</v>
      </c>
      <c r="C14" s="4">
        <f>IF(A14&lt;('2. Inputs and results'!$B$21+1),'2. Inputs and results'!$B$99+'2. Inputs and results'!$B$101," ")</f>
        <v>11460</v>
      </c>
      <c r="D14" s="4">
        <f>IF(A14&lt;('2. Inputs and results'!$B$21+1),D13+C14,NA())</f>
        <v>103140</v>
      </c>
      <c r="E14" s="4">
        <f>IF(B14&lt;('2. Inputs and results'!$B$21+1),C14/((1+$P$2)^A14)," ")</f>
        <v>8051.6439897333976</v>
      </c>
      <c r="F14" s="4">
        <f>IF(A14&lt;('2. Inputs and results'!$B$21+1),F13+E14," ")</f>
        <v>85208.900256664943</v>
      </c>
      <c r="G14" s="4">
        <f>IF(A14&lt;('2. Inputs and results'!$B$21+1),G13*(1+'2. Inputs and results'!$B$44)," ")</f>
        <v>14821.209952235111</v>
      </c>
      <c r="H14" s="4">
        <f>IF(A14&lt;('2. Inputs and results'!$B$21+1),H13*(1+'2. Inputs and results'!$B$56)," ")</f>
        <v>0</v>
      </c>
      <c r="I14" s="4">
        <f>IF(A14&lt;('2. Inputs and results'!$B$21+1),I13*(1+'2. Inputs and results'!$B$32)," ")</f>
        <v>-304.02481953302794</v>
      </c>
      <c r="J14" s="4">
        <f>IF(A14&lt;('2. Inputs and results'!$B$21+1),J13*(1+'2. Inputs and results'!$B$66)," ")</f>
        <v>0</v>
      </c>
      <c r="K14" s="4">
        <f>IF('Solution 1, (hidden)'!A14&lt;('2. Inputs and results'!$B$21+1),K13+(G14+I14+H14+J14),NA())</f>
        <v>116423.35622277144</v>
      </c>
      <c r="L14" s="4">
        <f>IF(A14&lt;('2. Inputs and results'!$B$21+1),L13,NA())</f>
        <v>156400</v>
      </c>
      <c r="M14" s="4">
        <f>IF(A14&lt;('2. Inputs and results'!$B$21+1),'2. Inputs and results'!$B$75*'2. Inputs and results'!$B$73," ")</f>
        <v>1840</v>
      </c>
      <c r="N14" s="4">
        <f>IF(A14&lt;('2. Inputs and results'!$B$21+1),M14/((1+$P$2)^A14)," ")</f>
        <v>1292.7595934650481</v>
      </c>
      <c r="O14" s="4">
        <f>IF(A14&lt;('2. Inputs and results'!$B$21+1),'2. Inputs and results'!$B$73*'2. Inputs and results'!$B$75+O13," ")</f>
        <v>171120</v>
      </c>
      <c r="P14" s="4">
        <f>IF(A14&lt;('2. Inputs and results'!$B$21+1),(G14+I14+H14+J14)/((1+$P$2)^A14)," ")</f>
        <v>10199.581712178688</v>
      </c>
      <c r="Q14" s="4">
        <f>IF(A14&lt;('2. Inputs and results'!$B$21+1),Q13+P14," ")</f>
        <v>95443.083645594859</v>
      </c>
      <c r="R14" s="4">
        <f>IF(A14&lt;('2. Inputs and results'!$B$21+1),R13+G14+I14+J14+H14+T14-$V$6,NA())</f>
        <v>-79167.009018636061</v>
      </c>
      <c r="S14" s="4">
        <f>IF(A14&lt;('2. Inputs and results'!$B$21+1),'2. Inputs and results'!$B$79*(R13)," ")</f>
        <v>-1800.8665519870221</v>
      </c>
      <c r="T14" s="4">
        <f t="shared" si="1"/>
        <v>-1800.8665519870221</v>
      </c>
      <c r="U14" s="4">
        <f>IF(A14&lt;('2. Inputs and results'!$B$21+1),U13+(T14+I14+G14+H14+J14-$V$6)/((1+$P$2)^A14),NA())</f>
        <v>-93654.162603614444</v>
      </c>
      <c r="V14" s="4">
        <f>IF(A14&lt;('2. Inputs and results'!$B$21+1),V13+('2. Inputs and results'!$B$75*'2. Inputs and results'!$B$73)," ")</f>
        <v>16560</v>
      </c>
      <c r="W14" s="4">
        <f>IF(A14&lt;('2. Inputs and results'!$B$21+1),W13+C14+Y14-$V$6,NA())</f>
        <v>-93072.952225197878</v>
      </c>
      <c r="X14" s="4">
        <f>IF(A14&lt;('2. Inputs and results'!$B$21+1),'2. Inputs and results'!$B$79*W13," ")</f>
        <v>-2013.5872985332917</v>
      </c>
      <c r="Y14" s="4">
        <f t="shared" si="2"/>
        <v>-2013.5872985332917</v>
      </c>
      <c r="Z14" s="4">
        <f>IF(A14&lt;('2. Inputs and results'!$B$21+1),Z13+(C14-$V$6+Y14)/((1+$P$2)^A14),NA())</f>
        <v>-104352.39813883137</v>
      </c>
      <c r="AA14" s="4">
        <f>IF(A14&lt;('2. Inputs and results'!$B$21+1),AA13+(G14+I14+H14+T14-$V$6)," ")</f>
        <v>77232.990981363968</v>
      </c>
      <c r="AB14" s="20">
        <f>IF(A14&lt;('2. Inputs and results'!$B$21+1),AA14/L14,NA())</f>
        <v>0.49381707788595885</v>
      </c>
      <c r="AC14" s="29">
        <f>IF(A14&lt;('2. Inputs and results'!$B$21+1),AC13+(C14+Y14-$V$6)," ")</f>
        <v>63327.047774802122</v>
      </c>
      <c r="AD14" s="20">
        <f>IF(A14&lt;('2. Inputs and results'!$B$21+1),AC14/L14,NA())</f>
        <v>0.40490439753709795</v>
      </c>
      <c r="AE14">
        <f>IF(A14&lt;('2. Inputs and results'!$B$21+1),-'2. Inputs and results'!$B$121*A14," ")</f>
        <v>-183600</v>
      </c>
      <c r="AF14">
        <f>IF(A14&lt;('2. Inputs and results'!$B$21+1),AE14/1000,NA())</f>
        <v>-183.6</v>
      </c>
    </row>
    <row r="15" spans="1:32" x14ac:dyDescent="0.25">
      <c r="A15">
        <f t="shared" si="0"/>
        <v>10</v>
      </c>
      <c r="B15">
        <f>IF(A15&lt;('2. Inputs and results'!$B$21+1),A15," ")</f>
        <v>10</v>
      </c>
      <c r="C15" s="4">
        <f>IF(A15&lt;('2. Inputs and results'!$B$21+1),'2. Inputs and results'!$B$99+'2. Inputs and results'!$B$101," ")</f>
        <v>11460</v>
      </c>
      <c r="D15" s="4">
        <f>IF(A15&lt;('2. Inputs and results'!$B$21+1),D14+C15,NA())</f>
        <v>114600</v>
      </c>
      <c r="E15" s="4">
        <f>IF(B15&lt;('2. Inputs and results'!$B$21+1),C15/((1+$P$2)^A15)," ")</f>
        <v>7741.9653747436514</v>
      </c>
      <c r="F15" s="4">
        <f>IF(A15&lt;('2. Inputs and results'!$B$21+1),F14+E15," ")</f>
        <v>92950.865631408597</v>
      </c>
      <c r="G15" s="4">
        <f>IF(A15&lt;('2. Inputs and results'!$B$21+1),G14*(1+'2. Inputs and results'!$B$44)," ")</f>
        <v>15265.846250802164</v>
      </c>
      <c r="H15" s="4">
        <f>IF(A15&lt;('2. Inputs and results'!$B$21+1),H14*(1+'2. Inputs and results'!$B$56)," ")</f>
        <v>0</v>
      </c>
      <c r="I15" s="4">
        <f>IF(A15&lt;('2. Inputs and results'!$B$21+1),I14*(1+'2. Inputs and results'!$B$32)," ")</f>
        <v>-313.14556411901879</v>
      </c>
      <c r="J15" s="4">
        <f>IF(A15&lt;('2. Inputs and results'!$B$21+1),J14*(1+'2. Inputs and results'!$B$66)," ")</f>
        <v>0</v>
      </c>
      <c r="K15" s="4">
        <f>IF('Solution 1, (hidden)'!A15&lt;('2. Inputs and results'!$B$21+1),K14+(G15+I15+H15+J15),NA())</f>
        <v>131376.05690945458</v>
      </c>
      <c r="L15" s="4">
        <f>IF(A15&lt;('2. Inputs and results'!$B$21+1),L14,NA())</f>
        <v>156400</v>
      </c>
      <c r="M15" s="4">
        <f>IF(A15&lt;('2. Inputs and results'!$B$21+1),'2. Inputs and results'!$B$75*'2. Inputs and results'!$B$73," ")</f>
        <v>1840</v>
      </c>
      <c r="N15" s="4">
        <f>IF(A15&lt;('2. Inputs and results'!$B$21+1),M15/((1+$P$2)^A15)," ")</f>
        <v>1243.0380706394694</v>
      </c>
      <c r="O15" s="4">
        <f>IF(A15&lt;('2. Inputs and results'!$B$21+1),'2. Inputs and results'!$B$73*'2. Inputs and results'!$B$75+O14," ")</f>
        <v>172960</v>
      </c>
      <c r="P15" s="4">
        <f>IF(A15&lt;('2. Inputs and results'!$B$21+1),(G15+I15+H15+J15)/((1+$P$2)^A15)," ")</f>
        <v>10101.508811100046</v>
      </c>
      <c r="Q15" s="4">
        <f>IF(A15&lt;('2. Inputs and results'!$B$21+1),Q14+P15," ")</f>
        <v>105544.59245669491</v>
      </c>
      <c r="R15" s="4">
        <f>IF(A15&lt;('2. Inputs and results'!$B$21+1),R14+G15+I15+J15+H15+T15-$V$6,NA())</f>
        <v>-67637.648512325643</v>
      </c>
      <c r="S15" s="4">
        <f>IF(A15&lt;('2. Inputs and results'!$B$21+1),'2. Inputs and results'!$B$79*(R14)," ")</f>
        <v>-1583.3401803727213</v>
      </c>
      <c r="T15" s="4">
        <f t="shared" si="1"/>
        <v>-1583.3401803727213</v>
      </c>
      <c r="U15" s="4">
        <f>IF(A15&lt;('2. Inputs and results'!$B$21+1),U14+(T15+I15+G15+H15+J15-$V$6)/((1+$P$2)^A15),NA())</f>
        <v>-85865.33975607586</v>
      </c>
      <c r="V15" s="4">
        <f>IF(A15&lt;('2. Inputs and results'!$B$21+1),V14+('2. Inputs and results'!$B$75*'2. Inputs and results'!$B$73)," ")</f>
        <v>18400</v>
      </c>
      <c r="W15" s="4">
        <f>IF(A15&lt;('2. Inputs and results'!$B$21+1),W14+C15+Y15-$V$6,NA())</f>
        <v>-85314.411269701843</v>
      </c>
      <c r="X15" s="4">
        <f>IF(A15&lt;('2. Inputs and results'!$B$21+1),'2. Inputs and results'!$B$79*W14," ")</f>
        <v>-1861.4590445039576</v>
      </c>
      <c r="Y15" s="4">
        <f t="shared" si="2"/>
        <v>-1861.4590445039576</v>
      </c>
      <c r="Z15" s="4">
        <f>IF(A15&lt;('2. Inputs and results'!$B$21+1),Z14+(C15-$V$6+Y15)/((1+$P$2)^A15),NA())</f>
        <v>-99111.005866930762</v>
      </c>
      <c r="AA15" s="4">
        <f>IF(A15&lt;('2. Inputs and results'!$B$21+1),AA14+(G15+I15+H15+T15-$V$6)," ")</f>
        <v>88762.351487674387</v>
      </c>
      <c r="AB15" s="20">
        <f>IF(A15&lt;('2. Inputs and results'!$B$21+1),AA15/L15,NA())</f>
        <v>0.56753421667310988</v>
      </c>
      <c r="AC15" s="29">
        <f>IF(A15&lt;('2. Inputs and results'!$B$21+1),AC14+(C15+Y15-$V$6)," ")</f>
        <v>71085.588730298157</v>
      </c>
      <c r="AD15" s="20">
        <f>IF(A15&lt;('2. Inputs and results'!$B$21+1),AC15/L15,NA())</f>
        <v>0.45451143689448947</v>
      </c>
      <c r="AE15">
        <f>IF(A15&lt;('2. Inputs and results'!$B$21+1),-'2. Inputs and results'!$B$121*A15," ")</f>
        <v>-204000</v>
      </c>
      <c r="AF15">
        <f>IF(A15&lt;('2. Inputs and results'!$B$21+1),AE15/1000,NA())</f>
        <v>-204</v>
      </c>
    </row>
    <row r="16" spans="1:32" x14ac:dyDescent="0.25">
      <c r="A16">
        <f t="shared" si="0"/>
        <v>11</v>
      </c>
      <c r="B16">
        <f>IF(A16&lt;('2. Inputs and results'!$B$21+1),A16," ")</f>
        <v>11</v>
      </c>
      <c r="C16" s="4">
        <f>IF(A16&lt;('2. Inputs and results'!$B$21+1),'2. Inputs and results'!$B$99+'2. Inputs and results'!$B$101," ")</f>
        <v>11460</v>
      </c>
      <c r="D16" s="4">
        <f>IF(A16&lt;('2. Inputs and results'!$B$21+1),D15+C16,NA())</f>
        <v>126060</v>
      </c>
      <c r="E16" s="4">
        <f>IF(B16&lt;('2. Inputs and results'!$B$21+1),C16/((1+$P$2)^A16)," ")</f>
        <v>7444.1974757150501</v>
      </c>
      <c r="F16" s="4">
        <f>IF(A16&lt;('2. Inputs and results'!$B$21+1),F15+E16," ")</f>
        <v>100395.06310712364</v>
      </c>
      <c r="G16" s="4">
        <f>IF(A16&lt;('2. Inputs and results'!$B$21+1),G15*(1+'2. Inputs and results'!$B$44)," ")</f>
        <v>15723.82163832623</v>
      </c>
      <c r="H16" s="4">
        <f>IF(A16&lt;('2. Inputs and results'!$B$21+1),H15*(1+'2. Inputs and results'!$B$56)," ")</f>
        <v>0</v>
      </c>
      <c r="I16" s="4">
        <f>IF(A16&lt;('2. Inputs and results'!$B$21+1),I15*(1+'2. Inputs and results'!$B$32)," ")</f>
        <v>-322.53993104258933</v>
      </c>
      <c r="J16" s="4">
        <f>IF(A16&lt;('2. Inputs and results'!$B$21+1),J15*(1+'2. Inputs and results'!$B$66)," ")</f>
        <v>0</v>
      </c>
      <c r="K16" s="4">
        <f>IF('Solution 1, (hidden)'!A16&lt;('2. Inputs and results'!$B$21+1),K15+(G16+I16+H16+J16),NA())</f>
        <v>146777.33861673821</v>
      </c>
      <c r="L16" s="4">
        <f>IF(A16&lt;('2. Inputs and results'!$B$21+1),L15,NA())</f>
        <v>156400</v>
      </c>
      <c r="M16" s="4">
        <f>IF(A16&lt;('2. Inputs and results'!$B$21+1),'2. Inputs and results'!$B$75*'2. Inputs and results'!$B$73," ")</f>
        <v>1840</v>
      </c>
      <c r="N16" s="4">
        <f>IF(A16&lt;('2. Inputs and results'!$B$21+1),M16/((1+$P$2)^A16)," ")</f>
        <v>1195.2289140764128</v>
      </c>
      <c r="O16" s="4">
        <f>IF(A16&lt;('2. Inputs and results'!$B$21+1),'2. Inputs and results'!$B$73*'2. Inputs and results'!$B$75+O15," ")</f>
        <v>174800</v>
      </c>
      <c r="P16" s="4">
        <f>IF(A16&lt;('2. Inputs and results'!$B$21+1),(G16+I16+H16+J16)/((1+$P$2)^A16)," ")</f>
        <v>10004.378918685625</v>
      </c>
      <c r="Q16" s="4">
        <f>IF(A16&lt;('2. Inputs and results'!$B$21+1),Q15+P16," ")</f>
        <v>115548.97137538054</v>
      </c>
      <c r="R16" s="4">
        <f>IF(A16&lt;('2. Inputs and results'!$B$21+1),R15+G16+I16+J16+H16+T16-$V$6,NA())</f>
        <v>-55429.119775288513</v>
      </c>
      <c r="S16" s="4">
        <f>IF(A16&lt;('2. Inputs and results'!$B$21+1),'2. Inputs and results'!$B$79*(R15)," ")</f>
        <v>-1352.7529702465129</v>
      </c>
      <c r="T16" s="4">
        <f t="shared" si="1"/>
        <v>-1352.7529702465129</v>
      </c>
      <c r="U16" s="4">
        <f>IF(A16&lt;('2. Inputs and results'!$B$21+1),U15+(T16+I16+G16+H16+J16-$V$6)/((1+$P$2)^A16),NA())</f>
        <v>-77934.912286054358</v>
      </c>
      <c r="V16" s="4">
        <f>IF(A16&lt;('2. Inputs and results'!$B$21+1),V15+('2. Inputs and results'!$B$75*'2. Inputs and results'!$B$73)," ")</f>
        <v>20240</v>
      </c>
      <c r="W16" s="4">
        <f>IF(A16&lt;('2. Inputs and results'!$B$21+1),W15+C16+Y16-$V$6,NA())</f>
        <v>-77400.699495095876</v>
      </c>
      <c r="X16" s="4">
        <f>IF(A16&lt;('2. Inputs and results'!$B$21+1),'2. Inputs and results'!$B$79*W15," ")</f>
        <v>-1706.288225394037</v>
      </c>
      <c r="Y16" s="4">
        <f t="shared" si="2"/>
        <v>-1706.288225394037</v>
      </c>
      <c r="Z16" s="4">
        <f>IF(A16&lt;('2. Inputs and results'!$B$21+1),Z15+(C16-$V$6+Y16)/((1+$P$2)^A16),NA())</f>
        <v>-93970.409600259023</v>
      </c>
      <c r="AA16" s="4">
        <f>IF(A16&lt;('2. Inputs and results'!$B$21+1),AA15+(G16+I16+H16+T16-$V$6)," ")</f>
        <v>100970.88022471151</v>
      </c>
      <c r="AB16" s="20">
        <f>IF(A16&lt;('2. Inputs and results'!$B$21+1),AA16/L16,NA())</f>
        <v>0.64559386332935742</v>
      </c>
      <c r="AC16" s="29">
        <f>IF(A16&lt;('2. Inputs and results'!$B$21+1),AC15+(C16+Y16-$V$6)," ")</f>
        <v>78999.300504904124</v>
      </c>
      <c r="AD16" s="20">
        <f>IF(A16&lt;('2. Inputs and results'!$B$21+1),AC16/L16,NA())</f>
        <v>0.50511061703902893</v>
      </c>
      <c r="AE16">
        <f>IF(A16&lt;('2. Inputs and results'!$B$21+1),-'2. Inputs and results'!$B$121*A16," ")</f>
        <v>-224400</v>
      </c>
      <c r="AF16">
        <f>IF(A16&lt;('2. Inputs and results'!$B$21+1),AE16/1000,NA())</f>
        <v>-224.4</v>
      </c>
    </row>
    <row r="17" spans="1:32" x14ac:dyDescent="0.25">
      <c r="A17">
        <f t="shared" si="0"/>
        <v>12</v>
      </c>
      <c r="B17">
        <f>IF(A17&lt;('2. Inputs and results'!$B$21+1),A17," ")</f>
        <v>12</v>
      </c>
      <c r="C17" s="4">
        <f>IF(A17&lt;('2. Inputs and results'!$B$21+1),'2. Inputs and results'!$B$99+'2. Inputs and results'!$B$101," ")</f>
        <v>11460</v>
      </c>
      <c r="D17" s="4">
        <f>IF(A17&lt;('2. Inputs and results'!$B$21+1),D16+C17,NA())</f>
        <v>137520</v>
      </c>
      <c r="E17" s="4">
        <f>IF(B17&lt;('2. Inputs and results'!$B$21+1),C17/((1+$P$2)^A17)," ")</f>
        <v>7157.8821881875465</v>
      </c>
      <c r="F17" s="4">
        <f>IF(A17&lt;('2. Inputs and results'!$B$21+1),F16+E17," ")</f>
        <v>107552.94529531119</v>
      </c>
      <c r="G17" s="4">
        <f>IF(A17&lt;('2. Inputs and results'!$B$21+1),G16*(1+'2. Inputs and results'!$B$44)," ")</f>
        <v>16195.536287476018</v>
      </c>
      <c r="H17" s="4">
        <f>IF(A17&lt;('2. Inputs and results'!$B$21+1),H16*(1+'2. Inputs and results'!$B$56)," ")</f>
        <v>0</v>
      </c>
      <c r="I17" s="4">
        <f>IF(A17&lt;('2. Inputs and results'!$B$21+1),I16*(1+'2. Inputs and results'!$B$32)," ")</f>
        <v>-332.216128973867</v>
      </c>
      <c r="J17" s="4">
        <f>IF(A17&lt;('2. Inputs and results'!$B$21+1),J16*(1+'2. Inputs and results'!$B$66)," ")</f>
        <v>0</v>
      </c>
      <c r="K17" s="4">
        <f>IF('Solution 1, (hidden)'!A17&lt;('2. Inputs and results'!$B$21+1),K16+(G17+I17+H17+J17),NA())</f>
        <v>162640.65877524036</v>
      </c>
      <c r="L17" s="4">
        <f>IF(A17&lt;('2. Inputs and results'!$B$21+1),L16,NA())</f>
        <v>156400</v>
      </c>
      <c r="M17" s="4">
        <f>IF(A17&lt;('2. Inputs and results'!$B$21+1),'2. Inputs and results'!$B$75*'2. Inputs and results'!$B$73," ")</f>
        <v>1840</v>
      </c>
      <c r="N17" s="4">
        <f>IF(A17&lt;('2. Inputs and results'!$B$21+1),M17/((1+$P$2)^A17)," ")</f>
        <v>1149.2585712273199</v>
      </c>
      <c r="O17" s="4">
        <f>IF(A17&lt;('2. Inputs and results'!$B$21+1),'2. Inputs and results'!$B$73*'2. Inputs and results'!$B$75+O16," ")</f>
        <v>176640</v>
      </c>
      <c r="P17" s="4">
        <f>IF(A17&lt;('2. Inputs and results'!$B$21+1),(G17+I17+H17+J17)/((1+$P$2)^A17)," ")</f>
        <v>9908.1829675444151</v>
      </c>
      <c r="Q17" s="4">
        <f>IF(A17&lt;('2. Inputs and results'!$B$21+1),Q16+P17," ")</f>
        <v>125457.15434292496</v>
      </c>
      <c r="R17" s="4">
        <f>IF(A17&lt;('2. Inputs and results'!$B$21+1),R16+G17+I17+J17+H17+T17-$V$6,NA())</f>
        <v>-42514.382012292132</v>
      </c>
      <c r="S17" s="4">
        <f>IF(A17&lt;('2. Inputs and results'!$B$21+1),'2. Inputs and results'!$B$79*(R16)," ")</f>
        <v>-1108.5823955057704</v>
      </c>
      <c r="T17" s="4">
        <f t="shared" si="1"/>
        <v>-1108.5823955057704</v>
      </c>
      <c r="U17" s="4">
        <f>IF(A17&lt;('2. Inputs and results'!$B$21+1),U16+(T17+I17+G17+H17+J17-$V$6)/((1+$P$2)^A17),NA())</f>
        <v>-69868.405183186565</v>
      </c>
      <c r="V17" s="4">
        <f>IF(A17&lt;('2. Inputs and results'!$B$21+1),V16+('2. Inputs and results'!$B$75*'2. Inputs and results'!$B$73)," ")</f>
        <v>22080</v>
      </c>
      <c r="W17" s="4">
        <f>IF(A17&lt;('2. Inputs and results'!$B$21+1),W16+C17+Y17-$V$6,NA())</f>
        <v>-69328.713484997788</v>
      </c>
      <c r="X17" s="4">
        <f>IF(A17&lt;('2. Inputs and results'!$B$21+1),'2. Inputs and results'!$B$79*W16," ")</f>
        <v>-1548.0139899019175</v>
      </c>
      <c r="Y17" s="4">
        <f t="shared" si="2"/>
        <v>-1548.0139899019175</v>
      </c>
      <c r="Z17" s="4">
        <f>IF(A17&lt;('2. Inputs and results'!$B$21+1),Z16+(C17-$V$6+Y17)/((1+$P$2)^A17),NA())</f>
        <v>-88928.670954100206</v>
      </c>
      <c r="AA17" s="4">
        <f>IF(A17&lt;('2. Inputs and results'!$B$21+1),AA16+(G17+I17+H17+T17-$V$6)," ")</f>
        <v>113885.6179877079</v>
      </c>
      <c r="AB17" s="20">
        <f>IF(A17&lt;('2. Inputs and results'!$B$21+1),AA17/L17,NA())</f>
        <v>0.72816891296488429</v>
      </c>
      <c r="AC17" s="29">
        <f>IF(A17&lt;('2. Inputs and results'!$B$21+1),AC16+(C17+Y17-$V$6)," ")</f>
        <v>87071.286515002212</v>
      </c>
      <c r="AD17" s="20">
        <f>IF(A17&lt;('2. Inputs and results'!$B$21+1),AC17/L17,NA())</f>
        <v>0.55672178078645917</v>
      </c>
      <c r="AE17">
        <f>IF(A17&lt;('2. Inputs and results'!$B$21+1),-'2. Inputs and results'!$B$121*A17," ")</f>
        <v>-244800</v>
      </c>
      <c r="AF17">
        <f>IF(A17&lt;('2. Inputs and results'!$B$21+1),AE17/1000,NA())</f>
        <v>-244.8</v>
      </c>
    </row>
    <row r="18" spans="1:32" x14ac:dyDescent="0.25">
      <c r="A18">
        <f t="shared" si="0"/>
        <v>13</v>
      </c>
      <c r="B18">
        <f>IF(A18&lt;('2. Inputs and results'!$B$21+1),A18," ")</f>
        <v>13</v>
      </c>
      <c r="C18" s="4">
        <f>IF(A18&lt;('2. Inputs and results'!$B$21+1),'2. Inputs and results'!$B$99+'2. Inputs and results'!$B$101," ")</f>
        <v>11460</v>
      </c>
      <c r="D18" s="4">
        <f>IF(A18&lt;('2. Inputs and results'!$B$21+1),D17+C18,NA())</f>
        <v>148980</v>
      </c>
      <c r="E18" s="4">
        <f>IF(B18&lt;('2. Inputs and results'!$B$21+1),C18/((1+$P$2)^A18)," ")</f>
        <v>6882.5790271034102</v>
      </c>
      <c r="F18" s="4">
        <f>IF(A18&lt;('2. Inputs and results'!$B$21+1),F17+E18," ")</f>
        <v>114435.5243224146</v>
      </c>
      <c r="G18" s="4">
        <f>IF(A18&lt;('2. Inputs and results'!$B$21+1),G17*(1+'2. Inputs and results'!$B$44)," ")</f>
        <v>16681.402376100297</v>
      </c>
      <c r="H18" s="4">
        <f>IF(A18&lt;('2. Inputs and results'!$B$21+1),H17*(1+'2. Inputs and results'!$B$56)," ")</f>
        <v>0</v>
      </c>
      <c r="I18" s="4">
        <f>IF(A18&lt;('2. Inputs and results'!$B$21+1),I17*(1+'2. Inputs and results'!$B$32)," ")</f>
        <v>-342.18261284308301</v>
      </c>
      <c r="J18" s="4">
        <f>IF(A18&lt;('2. Inputs and results'!$B$21+1),J17*(1+'2. Inputs and results'!$B$66)," ")</f>
        <v>0</v>
      </c>
      <c r="K18" s="4">
        <f>IF('Solution 1, (hidden)'!A18&lt;('2. Inputs and results'!$B$21+1),K17+(G18+I18+H18+J18),NA())</f>
        <v>178979.87853849758</v>
      </c>
      <c r="L18" s="4">
        <f>IF(A18&lt;('2. Inputs and results'!$B$21+1),L17,NA())</f>
        <v>156400</v>
      </c>
      <c r="M18" s="4">
        <f>IF(A18&lt;('2. Inputs and results'!$B$21+1),'2. Inputs and results'!$B$75*'2. Inputs and results'!$B$73," ")</f>
        <v>1840</v>
      </c>
      <c r="N18" s="4">
        <f>IF(A18&lt;('2. Inputs and results'!$B$21+1),M18/((1+$P$2)^A18)," ")</f>
        <v>1105.0563184878076</v>
      </c>
      <c r="O18" s="4">
        <f>IF(A18&lt;('2. Inputs and results'!$B$21+1),'2. Inputs and results'!$B$73*'2. Inputs and results'!$B$75+O17," ")</f>
        <v>178480</v>
      </c>
      <c r="P18" s="4">
        <f>IF(A18&lt;('2. Inputs and results'!$B$21+1),(G18+I18+H18+J18)/((1+$P$2)^A18)," ")</f>
        <v>9812.9119774718711</v>
      </c>
      <c r="Q18" s="4">
        <f>IF(A18&lt;('2. Inputs and results'!$B$21+1),Q17+P18," ")</f>
        <v>135270.06632039684</v>
      </c>
      <c r="R18" s="4">
        <f>IF(A18&lt;('2. Inputs and results'!$B$21+1),R17+G18+I18+J18+H18+T18-$V$6,NA())</f>
        <v>-28865.449889280761</v>
      </c>
      <c r="S18" s="4">
        <f>IF(A18&lt;('2. Inputs and results'!$B$21+1),'2. Inputs and results'!$B$79*(R17)," ")</f>
        <v>-850.28764024584268</v>
      </c>
      <c r="T18" s="4">
        <f t="shared" si="1"/>
        <v>-850.28764024584268</v>
      </c>
      <c r="U18" s="4">
        <f>IF(A18&lt;('2. Inputs and results'!$B$21+1),U17+(T18+I18+G18+H18+J18-$V$6)/((1+$P$2)^A18),NA())</f>
        <v>-61671.210246694762</v>
      </c>
      <c r="V18" s="4">
        <f>IF(A18&lt;('2. Inputs and results'!$B$21+1),V17+('2. Inputs and results'!$B$75*'2. Inputs and results'!$B$73)," ")</f>
        <v>23920</v>
      </c>
      <c r="W18" s="4">
        <f>IF(A18&lt;('2. Inputs and results'!$B$21+1),W17+C18+Y18-$V$6,NA())</f>
        <v>-61095.287754697747</v>
      </c>
      <c r="X18" s="4">
        <f>IF(A18&lt;('2. Inputs and results'!$B$21+1),'2. Inputs and results'!$B$79*W17," ")</f>
        <v>-1386.5742696999557</v>
      </c>
      <c r="Y18" s="4">
        <f t="shared" si="2"/>
        <v>-1386.5742696999557</v>
      </c>
      <c r="Z18" s="4">
        <f>IF(A18&lt;('2. Inputs and results'!$B$21+1),Z17+(C18-$V$6+Y18)/((1+$P$2)^A18),NA())</f>
        <v>-83983.888820367516</v>
      </c>
      <c r="AA18" s="4">
        <f>IF(A18&lt;('2. Inputs and results'!$B$21+1),AA17+(G18+I18+H18+T18-$V$6)," ")</f>
        <v>127534.55011071927</v>
      </c>
      <c r="AB18" s="20">
        <f>IF(A18&lt;('2. Inputs and results'!$B$21+1),AA18/L18,NA())</f>
        <v>0.8154382999406603</v>
      </c>
      <c r="AC18" s="29">
        <f>IF(A18&lt;('2. Inputs and results'!$B$21+1),AC17+(C18+Y18-$V$6)," ")</f>
        <v>95304.71224530226</v>
      </c>
      <c r="AD18" s="20">
        <f>IF(A18&lt;('2. Inputs and results'!$B$21+1),AC18/L18,NA())</f>
        <v>0.60936516780883798</v>
      </c>
      <c r="AE18">
        <f>IF(A18&lt;('2. Inputs and results'!$B$21+1),-'2. Inputs and results'!$B$121*A18," ")</f>
        <v>-265200</v>
      </c>
      <c r="AF18">
        <f>IF(A18&lt;('2. Inputs and results'!$B$21+1),AE18/1000,NA())</f>
        <v>-265.2</v>
      </c>
    </row>
    <row r="19" spans="1:32" x14ac:dyDescent="0.25">
      <c r="A19">
        <f t="shared" si="0"/>
        <v>14</v>
      </c>
      <c r="B19">
        <f>IF(A19&lt;('2. Inputs and results'!$B$21+1),A19," ")</f>
        <v>14</v>
      </c>
      <c r="C19" s="4">
        <f>IF(A19&lt;('2. Inputs and results'!$B$21+1),'2. Inputs and results'!$B$99+'2. Inputs and results'!$B$101," ")</f>
        <v>11460</v>
      </c>
      <c r="D19" s="4">
        <f>IF(A19&lt;('2. Inputs and results'!$B$21+1),D18+C19,NA())</f>
        <v>160440</v>
      </c>
      <c r="E19" s="4">
        <f>IF(B19&lt;('2. Inputs and results'!$B$21+1),C19/((1+$P$2)^A19)," ")</f>
        <v>6617.8644491378946</v>
      </c>
      <c r="F19" s="4">
        <f>IF(A19&lt;('2. Inputs and results'!$B$21+1),F18+E19," ")</f>
        <v>121053.38877155249</v>
      </c>
      <c r="G19" s="4">
        <f>IF(A19&lt;('2. Inputs and results'!$B$21+1),G18*(1+'2. Inputs and results'!$B$44)," ")</f>
        <v>17181.844447383308</v>
      </c>
      <c r="H19" s="4">
        <f>IF(A19&lt;('2. Inputs and results'!$B$21+1),H18*(1+'2. Inputs and results'!$B$56)," ")</f>
        <v>0</v>
      </c>
      <c r="I19" s="4">
        <f>IF(A19&lt;('2. Inputs and results'!$B$21+1),I18*(1+'2. Inputs and results'!$B$32)," ")</f>
        <v>-352.44809122837552</v>
      </c>
      <c r="J19" s="4">
        <f>IF(A19&lt;('2. Inputs and results'!$B$21+1),J18*(1+'2. Inputs and results'!$B$66)," ")</f>
        <v>0</v>
      </c>
      <c r="K19" s="4">
        <f>IF('Solution 1, (hidden)'!A19&lt;('2. Inputs and results'!$B$21+1),K18+(G19+I19+H19+J19),NA())</f>
        <v>195809.27489465251</v>
      </c>
      <c r="L19" s="4">
        <f>IF(A19&lt;('2. Inputs and results'!$B$21+1),L18,NA())</f>
        <v>156400</v>
      </c>
      <c r="M19" s="4">
        <f>IF(A19&lt;('2. Inputs and results'!$B$21+1),'2. Inputs and results'!$B$75*'2. Inputs and results'!$B$73," ")</f>
        <v>1840</v>
      </c>
      <c r="N19" s="4">
        <f>IF(A19&lt;('2. Inputs and results'!$B$21+1),M19/((1+$P$2)^A19)," ")</f>
        <v>1062.5541523921227</v>
      </c>
      <c r="O19" s="4">
        <f>IF(A19&lt;('2. Inputs and results'!$B$21+1),'2. Inputs and results'!$B$73*'2. Inputs and results'!$B$75+O18," ")</f>
        <v>180320</v>
      </c>
      <c r="P19" s="4">
        <f>IF(A19&lt;('2. Inputs and results'!$B$21+1),(G19+I19+H19+J19)/((1+$P$2)^A19)," ")</f>
        <v>9718.557054611565</v>
      </c>
      <c r="Q19" s="4">
        <f>IF(A19&lt;('2. Inputs and results'!$B$21+1),Q18+P19," ")</f>
        <v>144988.62337500841</v>
      </c>
      <c r="R19" s="4">
        <f>IF(A19&lt;('2. Inputs and results'!$B$21+1),R18+G19+I19+J19+H19+T19-$V$6,NA())</f>
        <v>-14453.362530911443</v>
      </c>
      <c r="S19" s="4">
        <f>IF(A19&lt;('2. Inputs and results'!$B$21+1),'2. Inputs and results'!$B$79*(R18)," ")</f>
        <v>-577.30899778561525</v>
      </c>
      <c r="T19" s="4">
        <f t="shared" si="1"/>
        <v>-577.30899778561525</v>
      </c>
      <c r="U19" s="4">
        <f>IF(A19&lt;('2. Inputs and results'!$B$21+1),U18+(T19+I19+G19+H19+J19-$V$6)/((1+$P$2)^A19),NA())</f>
        <v>-53348.588905785342</v>
      </c>
      <c r="V19" s="4">
        <f>IF(A19&lt;('2. Inputs and results'!$B$21+1),V18+('2. Inputs and results'!$B$75*'2. Inputs and results'!$B$73)," ")</f>
        <v>25760</v>
      </c>
      <c r="W19" s="4">
        <f>IF(A19&lt;('2. Inputs and results'!$B$21+1),W18+C19+Y19-$V$6,NA())</f>
        <v>-52697.193509791701</v>
      </c>
      <c r="X19" s="4">
        <f>IF(A19&lt;('2. Inputs and results'!$B$21+1),'2. Inputs and results'!$B$79*W18," ")</f>
        <v>-1221.9057550939549</v>
      </c>
      <c r="Y19" s="4">
        <f t="shared" si="2"/>
        <v>-1221.9057550939549</v>
      </c>
      <c r="Z19" s="4">
        <f>IF(A19&lt;('2. Inputs and results'!$B$21+1),Z18+(C19-$V$6+Y19)/((1+$P$2)^A19),NA())</f>
        <v>-79134.198650745064</v>
      </c>
      <c r="AA19" s="4">
        <f>IF(A19&lt;('2. Inputs and results'!$B$21+1),AA18+(G19+I19+H19+T19-$V$6)," ")</f>
        <v>141946.6374690886</v>
      </c>
      <c r="AB19" s="20">
        <f>IF(A19&lt;('2. Inputs and results'!$B$21+1),AA19/L19,NA())</f>
        <v>0.90758719609391691</v>
      </c>
      <c r="AC19" s="29">
        <f>IF(A19&lt;('2. Inputs and results'!$B$21+1),AC18+(C19+Y19-$V$6)," ")</f>
        <v>103702.80649020831</v>
      </c>
      <c r="AD19" s="20">
        <f>IF(A19&lt;('2. Inputs and results'!$B$21+1),AC19/L19,NA())</f>
        <v>0.66306142257166445</v>
      </c>
      <c r="AE19">
        <f>IF(A19&lt;('2. Inputs and results'!$B$21+1),-'2. Inputs and results'!$B$121*A19," ")</f>
        <v>-285600</v>
      </c>
      <c r="AF19">
        <f>IF(A19&lt;('2. Inputs and results'!$B$21+1),AE19/1000,NA())</f>
        <v>-285.60000000000002</v>
      </c>
    </row>
    <row r="20" spans="1:32" x14ac:dyDescent="0.25">
      <c r="A20">
        <f t="shared" si="0"/>
        <v>15</v>
      </c>
      <c r="B20">
        <f>IF(A20&lt;('2. Inputs and results'!$B$21+1),A20," ")</f>
        <v>15</v>
      </c>
      <c r="C20" s="4">
        <f>IF(A20&lt;('2. Inputs and results'!$B$21+1),'2. Inputs and results'!$B$99+'2. Inputs and results'!$B$101," ")</f>
        <v>11460</v>
      </c>
      <c r="D20" s="4">
        <f>IF(A20&lt;('2. Inputs and results'!$B$21+1),D19+C20,NA())</f>
        <v>171900</v>
      </c>
      <c r="E20" s="4">
        <f>IF(B20&lt;('2. Inputs and results'!$B$21+1),C20/((1+$P$2)^A20)," ")</f>
        <v>6363.331201094129</v>
      </c>
      <c r="F20" s="4">
        <f>IF(A20&lt;('2. Inputs and results'!$B$21+1),F19+E20," ")</f>
        <v>127416.71997264662</v>
      </c>
      <c r="G20" s="4">
        <f>IF(A20&lt;('2. Inputs and results'!$B$21+1),G19*(1+'2. Inputs and results'!$B$44)," ")</f>
        <v>17697.299780804806</v>
      </c>
      <c r="H20" s="4">
        <f>IF(A20&lt;('2. Inputs and results'!$B$21+1),H19*(1+'2. Inputs and results'!$B$56)," ")</f>
        <v>0</v>
      </c>
      <c r="I20" s="4">
        <f>IF(A20&lt;('2. Inputs and results'!$B$21+1),I19*(1+'2. Inputs and results'!$B$32)," ")</f>
        <v>-363.02153396522681</v>
      </c>
      <c r="J20" s="4">
        <f>IF(A20&lt;('2. Inputs and results'!$B$21+1),J19*(1+'2. Inputs and results'!$B$66)," ")</f>
        <v>0</v>
      </c>
      <c r="K20" s="4">
        <f>IF('Solution 1, (hidden)'!A20&lt;('2. Inputs and results'!$B$21+1),K19+(G20+I20+H20+J20),NA())</f>
        <v>213143.5531414921</v>
      </c>
      <c r="L20" s="4">
        <f>IF(A20&lt;('2. Inputs and results'!$B$21+1),L19,NA())</f>
        <v>156400</v>
      </c>
      <c r="M20" s="4">
        <f>IF(A20&lt;('2. Inputs and results'!$B$21+1),'2. Inputs and results'!$B$75*'2. Inputs and results'!$B$73," ")</f>
        <v>1840</v>
      </c>
      <c r="N20" s="4">
        <f>IF(A20&lt;('2. Inputs and results'!$B$21+1),M20/((1+$P$2)^A20)," ")</f>
        <v>1021.6866849924256</v>
      </c>
      <c r="O20" s="4">
        <f>IF(A20&lt;('2. Inputs and results'!$B$21+1),'2. Inputs and results'!$B$73*'2. Inputs and results'!$B$75+O19," ")</f>
        <v>182160</v>
      </c>
      <c r="P20" s="4">
        <f>IF(A20&lt;('2. Inputs and results'!$B$21+1),(G20+I20+H20+J20)/((1+$P$2)^A20)," ")</f>
        <v>9625.1093906249152</v>
      </c>
      <c r="Q20" s="4">
        <f>IF(A20&lt;('2. Inputs and results'!$B$21+1),Q19+P20," ")</f>
        <v>154613.73276563332</v>
      </c>
      <c r="R20" s="4">
        <f>IF(A20&lt;('2. Inputs and results'!$B$21+1),R19+G20+I20+J20+H20+T20-$V$6,NA())</f>
        <v>751.84846530990671</v>
      </c>
      <c r="S20" s="4">
        <f>IF(A20&lt;('2. Inputs and results'!$B$21+1),'2. Inputs and results'!$B$79*(R19)," ")</f>
        <v>-289.06725061822885</v>
      </c>
      <c r="T20" s="4">
        <f t="shared" si="1"/>
        <v>-289.06725061822885</v>
      </c>
      <c r="U20" s="4">
        <f>IF(A20&lt;('2. Inputs and results'!$B$21+1),U19+(T20+I20+G20+H20+J20-$V$6)/((1+$P$2)^A20),NA())</f>
        <v>-44905.67498331808</v>
      </c>
      <c r="V20" s="4">
        <f>IF(A20&lt;('2. Inputs and results'!$B$21+1),V19+('2. Inputs and results'!$B$75*'2. Inputs and results'!$B$73)," ")</f>
        <v>27600</v>
      </c>
      <c r="W20" s="4">
        <f>IF(A20&lt;('2. Inputs and results'!$B$21+1),W19+C20+Y20-$V$6,NA())</f>
        <v>-44131.137379987536</v>
      </c>
      <c r="X20" s="4">
        <f>IF(A20&lt;('2. Inputs and results'!$B$21+1),'2. Inputs and results'!$B$79*W19," ")</f>
        <v>-1053.9438701958341</v>
      </c>
      <c r="Y20" s="4">
        <f t="shared" si="2"/>
        <v>-1053.9438701958341</v>
      </c>
      <c r="Z20" s="4">
        <f>IF(A20&lt;('2. Inputs and results'!$B$21+1),Z19+(C20-$V$6+Y20)/((1+$P$2)^A20),NA())</f>
        <v>-74377.77175361535</v>
      </c>
      <c r="AA20" s="4">
        <f>IF(A20&lt;('2. Inputs and results'!$B$21+1),AA19+(G20+I20+H20+T20-$V$6)," ")</f>
        <v>157151.84846530994</v>
      </c>
      <c r="AB20" s="20">
        <f>IF(A20&lt;('2. Inputs and results'!$B$21+1),AA20/L20,NA())</f>
        <v>1.0048072152513423</v>
      </c>
      <c r="AC20" s="29">
        <f>IF(A20&lt;('2. Inputs and results'!$B$21+1),AC19+(C20+Y20-$V$6)," ")</f>
        <v>112268.86262001249</v>
      </c>
      <c r="AD20" s="20">
        <f>IF(A20&lt;('2. Inputs and results'!$B$21+1),AC20/L20,NA())</f>
        <v>0.71783160242974731</v>
      </c>
      <c r="AE20">
        <f>IF(A20&lt;('2. Inputs and results'!$B$21+1),-'2. Inputs and results'!$B$121*A20," ")</f>
        <v>-306000</v>
      </c>
      <c r="AF20">
        <f>IF(A20&lt;('2. Inputs and results'!$B$21+1),AE20/1000,NA())</f>
        <v>-306</v>
      </c>
    </row>
    <row r="21" spans="1:32" x14ac:dyDescent="0.25">
      <c r="A21">
        <f t="shared" si="0"/>
        <v>16</v>
      </c>
      <c r="B21">
        <f>IF(A21&lt;('2. Inputs and results'!$B$21+1),A21," ")</f>
        <v>16</v>
      </c>
      <c r="C21" s="4">
        <f>IF(A21&lt;('2. Inputs and results'!$B$21+1),'2. Inputs and results'!$B$99+'2. Inputs and results'!$B$101," ")</f>
        <v>11460</v>
      </c>
      <c r="D21" s="4">
        <f>IF(A21&lt;('2. Inputs and results'!$B$21+1),D20+C21,NA())</f>
        <v>183360</v>
      </c>
      <c r="E21" s="4">
        <f>IF(B21&lt;('2. Inputs and results'!$B$21+1),C21/((1+$P$2)^A21)," ")</f>
        <v>6118.5876933597383</v>
      </c>
      <c r="F21" s="4">
        <f>IF(A21&lt;('2. Inputs and results'!$B$21+1),F20+E21," ")</f>
        <v>133535.30766600635</v>
      </c>
      <c r="G21" s="4">
        <f>IF(A21&lt;('2. Inputs and results'!$B$21+1),G20*(1+'2. Inputs and results'!$B$44)," ")</f>
        <v>18228.21877422895</v>
      </c>
      <c r="H21" s="4">
        <f>IF(A21&lt;('2. Inputs and results'!$B$21+1),H20*(1+'2. Inputs and results'!$B$56)," ")</f>
        <v>0</v>
      </c>
      <c r="I21" s="4">
        <f>IF(A21&lt;('2. Inputs and results'!$B$21+1),I20*(1+'2. Inputs and results'!$B$32)," ")</f>
        <v>-373.91217998418364</v>
      </c>
      <c r="J21" s="4">
        <f>IF(A21&lt;('2. Inputs and results'!$B$21+1),J20*(1+'2. Inputs and results'!$B$66)," ")</f>
        <v>0</v>
      </c>
      <c r="K21" s="4">
        <f>IF('Solution 1, (hidden)'!A21&lt;('2. Inputs and results'!$B$21+1),K20+(G21+I21+H21+J21),NA())</f>
        <v>230997.85973573686</v>
      </c>
      <c r="L21" s="4">
        <f>IF(A21&lt;('2. Inputs and results'!$B$21+1),L20,NA())</f>
        <v>156400</v>
      </c>
      <c r="M21" s="4">
        <f>IF(A21&lt;('2. Inputs and results'!$B$21+1),'2. Inputs and results'!$B$75*'2. Inputs and results'!$B$73," ")</f>
        <v>1840</v>
      </c>
      <c r="N21" s="4">
        <f>IF(A21&lt;('2. Inputs and results'!$B$21+1),M21/((1+$P$2)^A21)," ")</f>
        <v>982.39104326194752</v>
      </c>
      <c r="O21" s="4">
        <f>IF(A21&lt;('2. Inputs and results'!$B$21+1),'2. Inputs and results'!$B$73*'2. Inputs and results'!$B$75+O20," ")</f>
        <v>184000</v>
      </c>
      <c r="P21" s="4">
        <f>IF(A21&lt;('2. Inputs and results'!$B$21+1),(G21+I21+H21+J21)/((1+$P$2)^A21)," ")</f>
        <v>9532.5602618689045</v>
      </c>
      <c r="Q21" s="4">
        <f>IF(A21&lt;('2. Inputs and results'!$B$21+1),Q20+P21," ")</f>
        <v>164146.29302750222</v>
      </c>
      <c r="R21" s="4">
        <f>IF(A21&lt;('2. Inputs and results'!$B$21+1),R20+G21+I21+J21+H21+T21-$V$6,NA())</f>
        <v>16766.155059554672</v>
      </c>
      <c r="S21" s="4">
        <f>IF(A21&lt;('2. Inputs and results'!$B$21+1),'2. Inputs and results'!$B$79*(R20)," ")</f>
        <v>15.036969306198134</v>
      </c>
      <c r="T21" s="4">
        <f t="shared" si="1"/>
        <v>0</v>
      </c>
      <c r="U21" s="4">
        <f>IF(A21&lt;('2. Inputs and results'!$B$21+1),U20+(T21+I21+G21+H21+J21-$V$6)/((1+$P$2)^A21),NA())</f>
        <v>-36355.505764711124</v>
      </c>
      <c r="V21" s="4">
        <f>IF(A21&lt;('2. Inputs and results'!$B$21+1),V20+('2. Inputs and results'!$B$75*'2. Inputs and results'!$B$73)," ")</f>
        <v>29440</v>
      </c>
      <c r="W21" s="4">
        <f>IF(A21&lt;('2. Inputs and results'!$B$21+1),W20+C21+Y21-$V$6,NA())</f>
        <v>-35393.760127587288</v>
      </c>
      <c r="X21" s="4">
        <f>IF(A21&lt;('2. Inputs and results'!$B$21+1),'2. Inputs and results'!$B$79*W20," ")</f>
        <v>-882.62274759975071</v>
      </c>
      <c r="Y21" s="4">
        <f t="shared" si="2"/>
        <v>-882.62274759975071</v>
      </c>
      <c r="Z21" s="4">
        <f>IF(A21&lt;('2. Inputs and results'!$B$21+1),Z20+(C21-$V$6+Y21)/((1+$P$2)^A21),NA())</f>
        <v>-69712.814604507366</v>
      </c>
      <c r="AA21" s="4">
        <f>IF(A21&lt;('2. Inputs and results'!$B$21+1),AA20+(G21+I21+H21+T21-$V$6)," ")</f>
        <v>173166.1550595547</v>
      </c>
      <c r="AB21" s="20">
        <f>IF(A21&lt;('2. Inputs and results'!$B$21+1),AA21/L21,NA())</f>
        <v>1.1072004799204265</v>
      </c>
      <c r="AC21" s="29">
        <f>IF(A21&lt;('2. Inputs and results'!$B$21+1),AC20+(C21+Y21-$V$6)," ")</f>
        <v>121006.23987241273</v>
      </c>
      <c r="AD21" s="20">
        <f>IF(A21&lt;('2. Inputs and results'!$B$21+1),AC21/L21,NA())</f>
        <v>0.77369718588499181</v>
      </c>
      <c r="AE21">
        <f>IF(A21&lt;('2. Inputs and results'!$B$21+1),-'2. Inputs and results'!$B$121*A21," ")</f>
        <v>-326400</v>
      </c>
      <c r="AF21">
        <f>IF(A21&lt;('2. Inputs and results'!$B$21+1),AE21/1000,NA())</f>
        <v>-326.39999999999998</v>
      </c>
    </row>
    <row r="22" spans="1:32" x14ac:dyDescent="0.25">
      <c r="A22">
        <f t="shared" si="0"/>
        <v>17</v>
      </c>
      <c r="B22">
        <f>IF(A22&lt;('2. Inputs and results'!$B$21+1),A22," ")</f>
        <v>17</v>
      </c>
      <c r="C22" s="4">
        <f>IF(A22&lt;('2. Inputs and results'!$B$21+1),'2. Inputs and results'!$B$99+'2. Inputs and results'!$B$101," ")</f>
        <v>11460</v>
      </c>
      <c r="D22" s="4">
        <f>IF(A22&lt;('2. Inputs and results'!$B$21+1),D21+C22,NA())</f>
        <v>194820</v>
      </c>
      <c r="E22" s="4">
        <f>IF(B22&lt;('2. Inputs and results'!$B$21+1),C22/((1+$P$2)^A22)," ")</f>
        <v>5883.2573974612869</v>
      </c>
      <c r="F22" s="4">
        <f>IF(A22&lt;('2. Inputs and results'!$B$21+1),F21+E22," ")</f>
        <v>139418.56506346763</v>
      </c>
      <c r="G22" s="4">
        <f>IF(A22&lt;('2. Inputs and results'!$B$21+1),G21*(1+'2. Inputs and results'!$B$44)," ")</f>
        <v>18775.065337455821</v>
      </c>
      <c r="H22" s="4">
        <f>IF(A22&lt;('2. Inputs and results'!$B$21+1),H21*(1+'2. Inputs and results'!$B$56)," ")</f>
        <v>0</v>
      </c>
      <c r="I22" s="4">
        <f>IF(A22&lt;('2. Inputs and results'!$B$21+1),I21*(1+'2. Inputs and results'!$B$32)," ")</f>
        <v>-385.12954538370917</v>
      </c>
      <c r="J22" s="4">
        <f>IF(A22&lt;('2. Inputs and results'!$B$21+1),J21*(1+'2. Inputs and results'!$B$66)," ")</f>
        <v>0</v>
      </c>
      <c r="K22" s="4">
        <f>IF('Solution 1, (hidden)'!A22&lt;('2. Inputs and results'!$B$21+1),K21+(G22+I22+H22+J22),NA())</f>
        <v>249387.79552780898</v>
      </c>
      <c r="L22" s="4">
        <f>IF(A22&lt;('2. Inputs and results'!$B$21+1),L21,NA())</f>
        <v>156400</v>
      </c>
      <c r="M22" s="4">
        <f>IF(A22&lt;('2. Inputs and results'!$B$21+1),'2. Inputs and results'!$B$75*'2. Inputs and results'!$B$73," ")</f>
        <v>1840</v>
      </c>
      <c r="N22" s="4">
        <f>IF(A22&lt;('2. Inputs and results'!$B$21+1),M22/((1+$P$2)^A22)," ")</f>
        <v>944.60677236725724</v>
      </c>
      <c r="O22" s="4">
        <f>IF(A22&lt;('2. Inputs and results'!$B$21+1),'2. Inputs and results'!$B$73*'2. Inputs and results'!$B$75+O21," ")</f>
        <v>185840</v>
      </c>
      <c r="P22" s="4">
        <f>IF(A22&lt;('2. Inputs and results'!$B$21+1),(G22+I22+H22+J22)/((1+$P$2)^A22)," ")</f>
        <v>9440.9010285817058</v>
      </c>
      <c r="Q22" s="4">
        <f>IF(A22&lt;('2. Inputs and results'!$B$21+1),Q21+P22," ")</f>
        <v>173587.19405608391</v>
      </c>
      <c r="R22" s="4">
        <f>IF(A22&lt;('2. Inputs and results'!$B$21+1),R21+G22+I22+J22+H22+T22-$V$6,NA())</f>
        <v>33316.090851626781</v>
      </c>
      <c r="S22" s="4">
        <f>IF(A22&lt;('2. Inputs and results'!$B$21+1),'2. Inputs and results'!$B$79*(R21)," ")</f>
        <v>335.32310119109343</v>
      </c>
      <c r="T22" s="4">
        <f t="shared" si="1"/>
        <v>0</v>
      </c>
      <c r="U22" s="4">
        <f>IF(A22&lt;('2. Inputs and results'!$B$21+1),U21+(T22+I22+G22+H22+J22-$V$6)/((1+$P$2)^A22),NA())</f>
        <v>-27859.211508496675</v>
      </c>
      <c r="V22" s="4">
        <f>IF(A22&lt;('2. Inputs and results'!$B$21+1),V21+('2. Inputs and results'!$B$75*'2. Inputs and results'!$B$73)," ")</f>
        <v>31280</v>
      </c>
      <c r="W22" s="4">
        <f>IF(A22&lt;('2. Inputs and results'!$B$21+1),W21+C22+Y22-$V$6,NA())</f>
        <v>-26481.635330139034</v>
      </c>
      <c r="X22" s="4">
        <f>IF(A22&lt;('2. Inputs and results'!$B$21+1),'2. Inputs and results'!$B$79*W21," ")</f>
        <v>-707.87520255174582</v>
      </c>
      <c r="Y22" s="4">
        <f t="shared" si="2"/>
        <v>-707.87520255174582</v>
      </c>
      <c r="Z22" s="4">
        <f>IF(A22&lt;('2. Inputs and results'!$B$21+1),Z21+(C22-$V$6+Y22)/((1+$P$2)^A22),NA())</f>
        <v>-65137.568169805309</v>
      </c>
      <c r="AA22" s="4">
        <f>IF(A22&lt;('2. Inputs and results'!$B$21+1),AA21+(G22+I22+H22+T22-$V$6)," ")</f>
        <v>189716.09085162682</v>
      </c>
      <c r="AB22" s="20">
        <f>IF(A22&lt;('2. Inputs and results'!$B$21+1),AA22/L22,NA())</f>
        <v>1.2130184837060538</v>
      </c>
      <c r="AC22" s="29">
        <f>IF(A22&lt;('2. Inputs and results'!$B$21+1),AC21+(C22+Y22-$V$6)," ")</f>
        <v>129918.36466986098</v>
      </c>
      <c r="AD22" s="20">
        <f>IF(A22&lt;('2. Inputs and results'!$B$21+1),AC22/L22,NA())</f>
        <v>0.83068008100934132</v>
      </c>
      <c r="AE22">
        <f>IF(A22&lt;('2. Inputs and results'!$B$21+1),-'2. Inputs and results'!$B$121*A22," ")</f>
        <v>-346800</v>
      </c>
      <c r="AF22">
        <f>IF(A22&lt;('2. Inputs and results'!$B$21+1),AE22/1000,NA())</f>
        <v>-346.8</v>
      </c>
    </row>
    <row r="23" spans="1:32" x14ac:dyDescent="0.25">
      <c r="A23">
        <f t="shared" si="0"/>
        <v>18</v>
      </c>
      <c r="B23">
        <f>IF(A23&lt;('2. Inputs and results'!$B$21+1),A23," ")</f>
        <v>18</v>
      </c>
      <c r="C23" s="4">
        <f>IF(A23&lt;('2. Inputs and results'!$B$21+1),'2. Inputs and results'!$B$99+'2. Inputs and results'!$B$101," ")</f>
        <v>11460</v>
      </c>
      <c r="D23" s="4">
        <f>IF(A23&lt;('2. Inputs and results'!$B$21+1),D22+C23,NA())</f>
        <v>206280</v>
      </c>
      <c r="E23" s="4">
        <f>IF(B23&lt;('2. Inputs and results'!$B$21+1),C23/((1+$P$2)^A23)," ")</f>
        <v>5656.978266789698</v>
      </c>
      <c r="F23" s="4">
        <f>IF(A23&lt;('2. Inputs and results'!$B$21+1),F22+E23," ")</f>
        <v>145075.54333025732</v>
      </c>
      <c r="G23" s="4">
        <f>IF(A23&lt;('2. Inputs and results'!$B$21+1),G22*(1+'2. Inputs and results'!$B$44)," ")</f>
        <v>19338.317297579495</v>
      </c>
      <c r="H23" s="4">
        <f>IF(A23&lt;('2. Inputs and results'!$B$21+1),H22*(1+'2. Inputs and results'!$B$56)," ")</f>
        <v>0</v>
      </c>
      <c r="I23" s="4">
        <f>IF(A23&lt;('2. Inputs and results'!$B$21+1),I22*(1+'2. Inputs and results'!$B$32)," ")</f>
        <v>-396.68343174522045</v>
      </c>
      <c r="J23" s="4">
        <f>IF(A23&lt;('2. Inputs and results'!$B$21+1),J22*(1+'2. Inputs and results'!$B$66)," ")</f>
        <v>0</v>
      </c>
      <c r="K23" s="4">
        <f>IF('Solution 1, (hidden)'!A23&lt;('2. Inputs and results'!$B$21+1),K22+(G23+I23+H23+J23),NA())</f>
        <v>268329.42939364328</v>
      </c>
      <c r="L23" s="4">
        <f>IF(A23&lt;('2. Inputs and results'!$B$21+1),L22,NA())</f>
        <v>156400</v>
      </c>
      <c r="M23" s="4">
        <f>IF(A23&lt;('2. Inputs and results'!$B$21+1),'2. Inputs and results'!$B$75*'2. Inputs and results'!$B$73," ")</f>
        <v>1840</v>
      </c>
      <c r="N23" s="4">
        <f>IF(A23&lt;('2. Inputs and results'!$B$21+1),M23/((1+$P$2)^A23)," ")</f>
        <v>908.27574266082422</v>
      </c>
      <c r="O23" s="4">
        <f>IF(A23&lt;('2. Inputs and results'!$B$21+1),'2. Inputs and results'!$B$73*'2. Inputs and results'!$B$75+O22," ")</f>
        <v>187680</v>
      </c>
      <c r="P23" s="4">
        <f>IF(A23&lt;('2. Inputs and results'!$B$21+1),(G23+I23+H23+J23)/((1+$P$2)^A23)," ")</f>
        <v>9350.1231340761115</v>
      </c>
      <c r="Q23" s="4">
        <f>IF(A23&lt;('2. Inputs and results'!$B$21+1),Q22+P23," ")</f>
        <v>182937.31719016001</v>
      </c>
      <c r="R23" s="4">
        <f>IF(A23&lt;('2. Inputs and results'!$B$21+1),R22+G23+I23+J23+H23+T23-$V$6,NA())</f>
        <v>50417.724717461053</v>
      </c>
      <c r="S23" s="4">
        <f>IF(A23&lt;('2. Inputs and results'!$B$21+1),'2. Inputs and results'!$B$79*(R22)," ")</f>
        <v>666.32181703253559</v>
      </c>
      <c r="T23" s="4">
        <f t="shared" si="1"/>
        <v>0</v>
      </c>
      <c r="U23" s="4">
        <f>IF(A23&lt;('2. Inputs and results'!$B$21+1),U22+(T23+I23+G23+H23+J23-$V$6)/((1+$P$2)^A23),NA())</f>
        <v>-19417.364117081386</v>
      </c>
      <c r="V23" s="4">
        <f>IF(A23&lt;('2. Inputs and results'!$B$21+1),V22+('2. Inputs and results'!$B$75*'2. Inputs and results'!$B$73)," ")</f>
        <v>33120</v>
      </c>
      <c r="W23" s="4">
        <f>IF(A23&lt;('2. Inputs and results'!$B$21+1),W22+C23+Y23-$V$6,NA())</f>
        <v>-17391.268036741814</v>
      </c>
      <c r="X23" s="4">
        <f>IF(A23&lt;('2. Inputs and results'!$B$21+1),'2. Inputs and results'!$B$79*W22," ")</f>
        <v>-529.63270660278067</v>
      </c>
      <c r="Y23" s="4">
        <f t="shared" si="2"/>
        <v>-529.63270660278067</v>
      </c>
      <c r="Z23" s="4">
        <f>IF(A23&lt;('2. Inputs and results'!$B$21+1),Z22+(C23-$V$6+Y23)/((1+$P$2)^A23),NA())</f>
        <v>-60650.307243462899</v>
      </c>
      <c r="AA23" s="4">
        <f>IF(A23&lt;('2. Inputs and results'!$B$21+1),AA22+(G23+I23+H23+T23-$V$6)," ")</f>
        <v>206817.7247174611</v>
      </c>
      <c r="AB23" s="20">
        <f>IF(A23&lt;('2. Inputs and results'!$B$21+1),AA23/L23,NA())</f>
        <v>1.3223639687817206</v>
      </c>
      <c r="AC23" s="29">
        <f>IF(A23&lt;('2. Inputs and results'!$B$21+1),AC22+(C23+Y23-$V$6)," ")</f>
        <v>139008.73196325821</v>
      </c>
      <c r="AD23" s="20">
        <f>IF(A23&lt;('2. Inputs and results'!$B$21+1),AC23/L23,NA())</f>
        <v>0.88880263403617776</v>
      </c>
      <c r="AE23">
        <f>IF(A23&lt;('2. Inputs and results'!$B$21+1),-'2. Inputs and results'!$B$121*A23," ")</f>
        <v>-367200</v>
      </c>
      <c r="AF23">
        <f>IF(A23&lt;('2. Inputs and results'!$B$21+1),AE23/1000,NA())</f>
        <v>-367.2</v>
      </c>
    </row>
    <row r="24" spans="1:32" x14ac:dyDescent="0.25">
      <c r="A24">
        <f t="shared" si="0"/>
        <v>19</v>
      </c>
      <c r="B24">
        <f>IF(A24&lt;('2. Inputs and results'!$B$21+1),A24," ")</f>
        <v>19</v>
      </c>
      <c r="C24" s="4">
        <f>IF(A24&lt;('2. Inputs and results'!$B$21+1),'2. Inputs and results'!$B$99+'2. Inputs and results'!$B$101," ")</f>
        <v>11460</v>
      </c>
      <c r="D24" s="4">
        <f>IF(A24&lt;('2. Inputs and results'!$B$21+1),D23+C24,NA())</f>
        <v>217740</v>
      </c>
      <c r="E24" s="4">
        <f>IF(B24&lt;('2. Inputs and results'!$B$21+1),C24/((1+$P$2)^A24)," ")</f>
        <v>5439.4021796054794</v>
      </c>
      <c r="F24" s="4">
        <f>IF(A24&lt;('2. Inputs and results'!$B$21+1),F23+E24," ")</f>
        <v>150514.9455098628</v>
      </c>
      <c r="G24" s="4">
        <f>IF(A24&lt;('2. Inputs and results'!$B$21+1),G23*(1+'2. Inputs and results'!$B$44)," ")</f>
        <v>19918.46681650688</v>
      </c>
      <c r="H24" s="4">
        <f>IF(A24&lt;('2. Inputs and results'!$B$21+1),H23*(1+'2. Inputs and results'!$B$56)," ")</f>
        <v>0</v>
      </c>
      <c r="I24" s="4">
        <f>IF(A24&lt;('2. Inputs and results'!$B$21+1),I23*(1+'2. Inputs and results'!$B$32)," ")</f>
        <v>-408.58393469757709</v>
      </c>
      <c r="J24" s="4">
        <f>IF(A24&lt;('2. Inputs and results'!$B$21+1),J23*(1+'2. Inputs and results'!$B$66)," ")</f>
        <v>0</v>
      </c>
      <c r="K24" s="4">
        <f>IF('Solution 1, (hidden)'!A24&lt;('2. Inputs and results'!$B$21+1),K23+(G24+I24+H24+J24),NA())</f>
        <v>287839.3122754526</v>
      </c>
      <c r="L24" s="4">
        <f>IF(A24&lt;('2. Inputs and results'!$B$21+1),L23,NA())</f>
        <v>156400</v>
      </c>
      <c r="M24" s="4">
        <f>IF(A24&lt;('2. Inputs and results'!$B$21+1),'2. Inputs and results'!$B$75*'2. Inputs and results'!$B$73," ")</f>
        <v>1840</v>
      </c>
      <c r="N24" s="4">
        <f>IF(A24&lt;('2. Inputs and results'!$B$21+1),M24/((1+$P$2)^A24)," ")</f>
        <v>873.34206025079254</v>
      </c>
      <c r="O24" s="4">
        <f>IF(A24&lt;('2. Inputs and results'!$B$21+1),'2. Inputs and results'!$B$73*'2. Inputs and results'!$B$75+O23," ")</f>
        <v>189520</v>
      </c>
      <c r="P24" s="4">
        <f>IF(A24&lt;('2. Inputs and results'!$B$21+1),(G24+I24+H24+J24)/((1+$P$2)^A24)," ")</f>
        <v>9260.2181039407642</v>
      </c>
      <c r="Q24" s="4">
        <f>IF(A24&lt;('2. Inputs and results'!$B$21+1),Q23+P24," ")</f>
        <v>192197.53529410079</v>
      </c>
      <c r="R24" s="4">
        <f>IF(A24&lt;('2. Inputs and results'!$B$21+1),R23+G24+I24+J24+H24+T24-$V$6,NA())</f>
        <v>68087.60759927037</v>
      </c>
      <c r="S24" s="4">
        <f>IF(A24&lt;('2. Inputs and results'!$B$21+1),'2. Inputs and results'!$B$79*(R23)," ")</f>
        <v>1008.3544943492211</v>
      </c>
      <c r="T24" s="4">
        <f t="shared" si="1"/>
        <v>0</v>
      </c>
      <c r="U24" s="4">
        <f>IF(A24&lt;('2. Inputs and results'!$B$21+1),U23+(T24+I24+G24+H24+J24-$V$6)/((1+$P$2)^A24),NA())</f>
        <v>-11030.488073391414</v>
      </c>
      <c r="V24" s="4">
        <f>IF(A24&lt;('2. Inputs and results'!$B$21+1),V23+('2. Inputs and results'!$B$75*'2. Inputs and results'!$B$73)," ")</f>
        <v>34960</v>
      </c>
      <c r="W24" s="4">
        <f>IF(A24&lt;('2. Inputs and results'!$B$21+1),W23+C24+Y24-$V$6,NA())</f>
        <v>-8119.0933974766504</v>
      </c>
      <c r="X24" s="4">
        <f>IF(A24&lt;('2. Inputs and results'!$B$21+1),'2. Inputs and results'!$B$79*W23," ")</f>
        <v>-347.82536073483629</v>
      </c>
      <c r="Y24" s="4">
        <f t="shared" si="2"/>
        <v>-347.82536073483629</v>
      </c>
      <c r="Z24" s="4">
        <f>IF(A24&lt;('2. Inputs and results'!$B$21+1),Z23+(C24-$V$6+Y24)/((1+$P$2)^A24),NA())</f>
        <v>-56249.339796473228</v>
      </c>
      <c r="AA24" s="4">
        <f>IF(A24&lt;('2. Inputs and results'!$B$21+1),AA23+(G24+I24+H24+T24-$V$6)," ")</f>
        <v>224487.60759927041</v>
      </c>
      <c r="AB24" s="20">
        <f>IF(A24&lt;('2. Inputs and results'!$B$21+1),AA24/L24,NA())</f>
        <v>1.4353427595861279</v>
      </c>
      <c r="AC24" s="29">
        <f>IF(A24&lt;('2. Inputs and results'!$B$21+1),AC23+(C24+Y24-$V$6)," ")</f>
        <v>148280.90660252338</v>
      </c>
      <c r="AD24" s="20">
        <f>IF(A24&lt;('2. Inputs and results'!$B$21+1),AC24/L24,NA())</f>
        <v>0.94808763812355101</v>
      </c>
      <c r="AE24">
        <f>IF(A24&lt;('2. Inputs and results'!$B$21+1),-'2. Inputs and results'!$B$121*A24," ")</f>
        <v>-387600</v>
      </c>
      <c r="AF24">
        <f>IF(A24&lt;('2. Inputs and results'!$B$21+1),AE24/1000,NA())</f>
        <v>-387.6</v>
      </c>
    </row>
    <row r="25" spans="1:32" x14ac:dyDescent="0.25">
      <c r="A25">
        <f t="shared" si="0"/>
        <v>20</v>
      </c>
      <c r="B25">
        <f>IF(A25&lt;('2. Inputs and results'!$B$21+1),A25," ")</f>
        <v>20</v>
      </c>
      <c r="C25" s="4">
        <f>IF(A25&lt;('2. Inputs and results'!$B$21+1),'2. Inputs and results'!$B$99+'2. Inputs and results'!$B$101," ")</f>
        <v>11460</v>
      </c>
      <c r="D25" s="4">
        <f>IF(A25&lt;('2. Inputs and results'!$B$21+1),D24+C25,NA())</f>
        <v>229200</v>
      </c>
      <c r="E25" s="4">
        <f>IF(B25&lt;('2. Inputs and results'!$B$21+1),C25/((1+$P$2)^A25)," ")</f>
        <v>5230.1944034668068</v>
      </c>
      <c r="F25" s="4">
        <f>IF(A25&lt;('2. Inputs and results'!$B$21+1),F24+E25," ")</f>
        <v>155745.13991332959</v>
      </c>
      <c r="G25" s="4">
        <f>IF(A25&lt;('2. Inputs and results'!$B$21+1),G24*(1+'2. Inputs and results'!$B$44)," ")</f>
        <v>20516.020821002086</v>
      </c>
      <c r="H25" s="4">
        <f>IF(A25&lt;('2. Inputs and results'!$B$21+1),H24*(1+'2. Inputs and results'!$B$56)," ")</f>
        <v>0</v>
      </c>
      <c r="I25" s="4">
        <f>IF(A25&lt;('2. Inputs and results'!$B$21+1),I24*(1+'2. Inputs and results'!$B$32)," ")</f>
        <v>-420.84145273850442</v>
      </c>
      <c r="J25" s="4">
        <f>IF(A25&lt;('2. Inputs and results'!$B$21+1),J24*(1+'2. Inputs and results'!$B$66)," ")</f>
        <v>0</v>
      </c>
      <c r="K25" s="4">
        <f>IF('Solution 1, (hidden)'!A25&lt;('2. Inputs and results'!$B$21+1),K24+(G25+I25+H25+J25),NA())</f>
        <v>307934.49164371617</v>
      </c>
      <c r="L25" s="4">
        <f>IF(A25&lt;('2. Inputs and results'!$B$21+1),L24,NA())</f>
        <v>156400</v>
      </c>
      <c r="M25" s="4">
        <f>IF(A25&lt;('2. Inputs and results'!$B$21+1),'2. Inputs and results'!$B$75*'2. Inputs and results'!$B$73," ")</f>
        <v>1840</v>
      </c>
      <c r="N25" s="4">
        <f>IF(A25&lt;('2. Inputs and results'!$B$21+1),M25/((1+$P$2)^A25)," ")</f>
        <v>839.75198101037745</v>
      </c>
      <c r="O25" s="4">
        <f>IF(A25&lt;('2. Inputs and results'!$B$21+1),'2. Inputs and results'!$B$73*'2. Inputs and results'!$B$75+O24," ")</f>
        <v>191360</v>
      </c>
      <c r="P25" s="4">
        <f>IF(A25&lt;('2. Inputs and results'!$B$21+1),(G25+I25+H25+J25)/((1+$P$2)^A25)," ")</f>
        <v>9171.1775452490256</v>
      </c>
      <c r="Q25" s="4">
        <f>IF(A25&lt;('2. Inputs and results'!$B$21+1),Q24+P25," ")</f>
        <v>201368.71283934981</v>
      </c>
      <c r="R25" s="4">
        <f>IF(A25&lt;('2. Inputs and results'!$B$21+1),R24+G25+I25+J25+H25+T25-$V$6,NA())</f>
        <v>86342.786967533961</v>
      </c>
      <c r="S25" s="4">
        <f>IF(A25&lt;('2. Inputs and results'!$B$21+1),'2. Inputs and results'!$B$79*(R24)," ")</f>
        <v>1361.7521519854074</v>
      </c>
      <c r="T25" s="4">
        <f t="shared" si="1"/>
        <v>0</v>
      </c>
      <c r="U25" s="4">
        <f>IF(A25&lt;('2. Inputs and results'!$B$21+1),U24+(T25+I25+G25+H25+J25-$V$6)/((1+$P$2)^A25),NA())</f>
        <v>-2699.0625091527654</v>
      </c>
      <c r="V25" s="4">
        <f>IF(A25&lt;('2. Inputs and results'!$B$21+1),V24+('2. Inputs and results'!$B$75*'2. Inputs and results'!$B$73)," ")</f>
        <v>36800</v>
      </c>
      <c r="W25" s="4">
        <f>IF(A25&lt;('2. Inputs and results'!$B$21+1),W24+C25+Y25-$V$6,NA())</f>
        <v>1338.5247345738167</v>
      </c>
      <c r="X25" s="4">
        <f>IF(A25&lt;('2. Inputs and results'!$B$21+1),'2. Inputs and results'!$B$79*W24," ")</f>
        <v>-162.38186794953302</v>
      </c>
      <c r="Y25" s="4">
        <f t="shared" si="2"/>
        <v>-162.38186794953302</v>
      </c>
      <c r="Z25" s="4">
        <f>IF(A25&lt;('2. Inputs and results'!$B$21+1),Z24+(C25-$V$6+Y25)/((1+$P$2)^A25),NA())</f>
        <v>-51933.006338848747</v>
      </c>
      <c r="AA25" s="4">
        <f>IF(A25&lt;('2. Inputs and results'!$B$21+1),AA24+(G25+I25+H25+T25-$V$6)," ")</f>
        <v>242742.78696753399</v>
      </c>
      <c r="AB25" s="20">
        <f>IF(A25&lt;('2. Inputs and results'!$B$21+1),AA25/L25,NA())</f>
        <v>1.5520638552911381</v>
      </c>
      <c r="AC25" s="29">
        <f>IF(A25&lt;('2. Inputs and results'!$B$21+1),AC24+(C25+Y25-$V$6)," ")</f>
        <v>157738.52473457385</v>
      </c>
      <c r="AD25" s="20">
        <f>IF(A25&lt;('2. Inputs and results'!$B$21+1),AC25/L25,NA())</f>
        <v>1.0085583422926716</v>
      </c>
      <c r="AE25">
        <f>IF(A25&lt;('2. Inputs and results'!$B$21+1),-'2. Inputs and results'!$B$121*A25," ")</f>
        <v>-408000</v>
      </c>
      <c r="AF25">
        <f>IF(A25&lt;('2. Inputs and results'!$B$21+1),AE25/1000,NA())</f>
        <v>-408</v>
      </c>
    </row>
    <row r="26" spans="1:32" x14ac:dyDescent="0.25">
      <c r="A26">
        <f t="shared" si="0"/>
        <v>21</v>
      </c>
      <c r="B26" t="str">
        <f>IF(A26&lt;('2. Inputs and results'!$B$21+1),A26," ")</f>
        <v xml:space="preserve"> </v>
      </c>
      <c r="C26" s="4" t="str">
        <f>IF(A26&lt;('2. Inputs and results'!$B$21+1),'2. Inputs and results'!$B$99+'2. Inputs and results'!$B$101," ")</f>
        <v xml:space="preserve"> </v>
      </c>
      <c r="D26" s="4" t="e">
        <f>IF(A26&lt;('2. Inputs and results'!$B$21+1),D25+C26,NA())</f>
        <v>#N/A</v>
      </c>
      <c r="E26" s="4" t="str">
        <f>IF(B26&lt;('2. Inputs and results'!$B$21+1),C26/((1+$P$2)^A26)," ")</f>
        <v xml:space="preserve"> </v>
      </c>
      <c r="F26" s="4" t="str">
        <f>IF(A26&lt;('2. Inputs and results'!$B$21+1),F25+E26," ")</f>
        <v xml:space="preserve"> </v>
      </c>
      <c r="G26" s="4" t="str">
        <f>IF(A26&lt;('2. Inputs and results'!$B$21+1),G25*(1+'2. Inputs and results'!$B$44)," ")</f>
        <v xml:space="preserve"> </v>
      </c>
      <c r="H26" s="4" t="str">
        <f>IF(A26&lt;('2. Inputs and results'!$B$21+1),H25*(1+'2. Inputs and results'!$B$56)," ")</f>
        <v xml:space="preserve"> </v>
      </c>
      <c r="I26" s="4" t="str">
        <f>IF(A26&lt;('2. Inputs and results'!$B$21+1),I25*(1+'2. Inputs and results'!$B$32)," ")</f>
        <v xml:space="preserve"> </v>
      </c>
      <c r="J26" s="4" t="str">
        <f>IF(A26&lt;('2. Inputs and results'!$B$21+1),J25*(1+'2. Inputs and results'!$B$66)," ")</f>
        <v xml:space="preserve"> </v>
      </c>
      <c r="K26" s="4" t="e">
        <f>IF('Solution 1, (hidden)'!A26&lt;('2. Inputs and results'!$B$21+1),K25+(G26+I26+H26+J26),NA())</f>
        <v>#N/A</v>
      </c>
      <c r="L26" s="4" t="e">
        <f>IF(A26&lt;('2. Inputs and results'!$B$21+1),L25,NA())</f>
        <v>#N/A</v>
      </c>
      <c r="M26" s="4" t="str">
        <f>IF(A26&lt;('2. Inputs and results'!$B$21+1),'2. Inputs and results'!$B$75*'2. Inputs and results'!$B$73," ")</f>
        <v xml:space="preserve"> </v>
      </c>
      <c r="N26" s="4" t="str">
        <f>IF(A26&lt;('2. Inputs and results'!$B$21+1),M26/((1+$P$2)^A26)," ")</f>
        <v xml:space="preserve"> </v>
      </c>
      <c r="O26" s="4" t="str">
        <f>IF(A26&lt;('2. Inputs and results'!$B$21+1),'2. Inputs and results'!$B$73*'2. Inputs and results'!$B$75+O25," ")</f>
        <v xml:space="preserve"> </v>
      </c>
      <c r="P26" s="4" t="str">
        <f>IF(A26&lt;('2. Inputs and results'!$B$21+1),(G26+I26+H26+J26)/((1+$P$2)^A26)," ")</f>
        <v xml:space="preserve"> </v>
      </c>
      <c r="Q26" s="4" t="str">
        <f>IF(A26&lt;('2. Inputs and results'!$B$21+1),Q25+P26," ")</f>
        <v xml:space="preserve"> </v>
      </c>
      <c r="R26" s="4" t="e">
        <f>IF(A26&lt;('2. Inputs and results'!$B$21+1),R25+G26+I26+J26+H26+T26-$V$6,NA())</f>
        <v>#N/A</v>
      </c>
      <c r="S26" s="4" t="str">
        <f>IF(A26&lt;('2. Inputs and results'!$B$21+1),'2. Inputs and results'!$B$79*(R25)," ")</f>
        <v xml:space="preserve"> </v>
      </c>
      <c r="T26" s="4">
        <f t="shared" si="1"/>
        <v>0</v>
      </c>
      <c r="U26" s="4" t="e">
        <f>IF(A26&lt;('2. Inputs and results'!$B$21+1),U25+(T26+I26+G26+H26+J26-$V$6)/((1+$P$2)^A26),NA())</f>
        <v>#N/A</v>
      </c>
      <c r="V26" s="4" t="str">
        <f>IF(A26&lt;('2. Inputs and results'!$B$21+1),V25+('2. Inputs and results'!$B$75*'2. Inputs and results'!$B$73)," ")</f>
        <v xml:space="preserve"> </v>
      </c>
      <c r="W26" s="4" t="e">
        <f>IF(A26&lt;('2. Inputs and results'!$B$21+1),W25+C26+Y26-$V$6,NA())</f>
        <v>#N/A</v>
      </c>
      <c r="X26" s="4" t="str">
        <f>IF(A26&lt;('2. Inputs and results'!$B$21+1),'2. Inputs and results'!$B$79*W25," ")</f>
        <v xml:space="preserve"> </v>
      </c>
      <c r="Y26" s="4">
        <f t="shared" si="2"/>
        <v>0</v>
      </c>
      <c r="Z26" s="4" t="e">
        <f>IF(A26&lt;('2. Inputs and results'!$B$21+1),Z25+(C26-$V$6+Y26)/((1+$P$2)^A26),NA())</f>
        <v>#N/A</v>
      </c>
      <c r="AA26" s="4" t="str">
        <f>IF(A26&lt;('2. Inputs and results'!$B$21+1),AA25+(G26+I26+H26+T26-$V$6)," ")</f>
        <v xml:space="preserve"> </v>
      </c>
      <c r="AB26" s="20" t="e">
        <f>IF(A26&lt;('2. Inputs and results'!$B$21+1),AA26/L26,NA())</f>
        <v>#N/A</v>
      </c>
      <c r="AC26" s="29" t="str">
        <f>IF(A26&lt;('2. Inputs and results'!$B$21+1),AC25+(C26+Y26-$V$6)," ")</f>
        <v xml:space="preserve"> </v>
      </c>
      <c r="AD26" s="20" t="e">
        <f>IF(A26&lt;('2. Inputs and results'!$B$21+1),AC26/L26,NA())</f>
        <v>#N/A</v>
      </c>
      <c r="AE26" t="str">
        <f>IF(A26&lt;('2. Inputs and results'!$B$21+1),-'2. Inputs and results'!$B$121*A26," ")</f>
        <v xml:space="preserve"> </v>
      </c>
      <c r="AF26" t="e">
        <f>IF(A26&lt;('2. Inputs and results'!$B$21+1),AE26/1000,NA())</f>
        <v>#N/A</v>
      </c>
    </row>
    <row r="27" spans="1:32" x14ac:dyDescent="0.25">
      <c r="A27">
        <f t="shared" si="0"/>
        <v>22</v>
      </c>
      <c r="B27" t="str">
        <f>IF(A27&lt;('2. Inputs and results'!$B$21+1),A27," ")</f>
        <v xml:space="preserve"> </v>
      </c>
      <c r="C27" s="4" t="str">
        <f>IF(A27&lt;('2. Inputs and results'!$B$21+1),'2. Inputs and results'!$B$99+'2. Inputs and results'!$B$101," ")</f>
        <v xml:space="preserve"> </v>
      </c>
      <c r="D27" s="4" t="e">
        <f>IF(A27&lt;('2. Inputs and results'!$B$21+1),D26+C27,NA())</f>
        <v>#N/A</v>
      </c>
      <c r="E27" s="4" t="str">
        <f>IF(B27&lt;('2. Inputs and results'!$B$21+1),C27/((1+$P$2)^A27)," ")</f>
        <v xml:space="preserve"> </v>
      </c>
      <c r="F27" s="4" t="str">
        <f>IF(A27&lt;('2. Inputs and results'!$B$21+1),F26+E27," ")</f>
        <v xml:space="preserve"> </v>
      </c>
      <c r="G27" s="4" t="str">
        <f>IF(A27&lt;('2. Inputs and results'!$B$21+1),G26*(1+'2. Inputs and results'!$B$44)," ")</f>
        <v xml:space="preserve"> </v>
      </c>
      <c r="H27" s="4" t="str">
        <f>IF(A27&lt;('2. Inputs and results'!$B$21+1),H26*(1+'2. Inputs and results'!$B$56)," ")</f>
        <v xml:space="preserve"> </v>
      </c>
      <c r="I27" s="4" t="str">
        <f>IF(A27&lt;('2. Inputs and results'!$B$21+1),I26*(1+'2. Inputs and results'!$B$32)," ")</f>
        <v xml:space="preserve"> </v>
      </c>
      <c r="J27" s="4" t="str">
        <f>IF(A27&lt;('2. Inputs and results'!$B$21+1),J26*(1+'2. Inputs and results'!$B$66)," ")</f>
        <v xml:space="preserve"> </v>
      </c>
      <c r="K27" s="4" t="e">
        <f>IF('Solution 1, (hidden)'!A27&lt;('2. Inputs and results'!$B$21+1),K26+(G27+I27+H27+J27),NA())</f>
        <v>#N/A</v>
      </c>
      <c r="L27" s="4" t="e">
        <f>IF(A27&lt;('2. Inputs and results'!$B$21+1),L26,NA())</f>
        <v>#N/A</v>
      </c>
      <c r="M27" s="4" t="str">
        <f>IF(A27&lt;('2. Inputs and results'!$B$21+1),'2. Inputs and results'!$B$75*'2. Inputs and results'!$B$73," ")</f>
        <v xml:space="preserve"> </v>
      </c>
      <c r="N27" s="4" t="str">
        <f>IF(A27&lt;('2. Inputs and results'!$B$21+1),M27/((1+$P$2)^A27)," ")</f>
        <v xml:space="preserve"> </v>
      </c>
      <c r="O27" s="4" t="str">
        <f>IF(A27&lt;('2. Inputs and results'!$B$21+1),'2. Inputs and results'!$B$73*'2. Inputs and results'!$B$75+O26," ")</f>
        <v xml:space="preserve"> </v>
      </c>
      <c r="P27" s="4" t="str">
        <f>IF(A27&lt;('2. Inputs and results'!$B$21+1),(G27+I27+H27+J27)/((1+$P$2)^A27)," ")</f>
        <v xml:space="preserve"> </v>
      </c>
      <c r="Q27" s="4" t="str">
        <f>IF(A27&lt;('2. Inputs and results'!$B$21+1),Q26+P27," ")</f>
        <v xml:space="preserve"> </v>
      </c>
      <c r="R27" s="4" t="e">
        <f>IF(A27&lt;('2. Inputs and results'!$B$21+1),R26+G27+I27+J27+H27+T27-$V$6,NA())</f>
        <v>#N/A</v>
      </c>
      <c r="S27" s="4" t="str">
        <f>IF(A27&lt;('2. Inputs and results'!$B$21+1),'2. Inputs and results'!$B$79*(R26)," ")</f>
        <v xml:space="preserve"> </v>
      </c>
      <c r="T27" s="4">
        <f t="shared" si="1"/>
        <v>0</v>
      </c>
      <c r="U27" s="4" t="e">
        <f>IF(A27&lt;('2. Inputs and results'!$B$21+1),U26+(T27+I27+G27+H27+J27-$V$6)/((1+$P$2)^A27),NA())</f>
        <v>#N/A</v>
      </c>
      <c r="V27" s="4" t="str">
        <f>IF(A27&lt;('2. Inputs and results'!$B$21+1),V26+('2. Inputs and results'!$B$75*'2. Inputs and results'!$B$73)," ")</f>
        <v xml:space="preserve"> </v>
      </c>
      <c r="W27" s="4" t="e">
        <f>IF(A27&lt;('2. Inputs and results'!$B$21+1),W26+C27+Y27-$V$6,NA())</f>
        <v>#N/A</v>
      </c>
      <c r="X27" s="4" t="str">
        <f>IF(A27&lt;('2. Inputs and results'!$B$21+1),'2. Inputs and results'!$B$79*W26," ")</f>
        <v xml:space="preserve"> </v>
      </c>
      <c r="Y27" s="4">
        <f t="shared" si="2"/>
        <v>0</v>
      </c>
      <c r="Z27" s="4" t="e">
        <f>IF(A27&lt;('2. Inputs and results'!$B$21+1),Z26+(C27-$V$6+Y27)/((1+$P$2)^A27),NA())</f>
        <v>#N/A</v>
      </c>
      <c r="AA27" s="4" t="str">
        <f>IF(A27&lt;('2. Inputs and results'!$B$21+1),AA26+(G27+I27+H27+T27-$V$6)," ")</f>
        <v xml:space="preserve"> </v>
      </c>
      <c r="AB27" s="20" t="e">
        <f>IF(A27&lt;('2. Inputs and results'!$B$21+1),AA27/L27,NA())</f>
        <v>#N/A</v>
      </c>
      <c r="AC27" s="29" t="str">
        <f>IF(A27&lt;('2. Inputs and results'!$B$21+1),AC26+(C27+Y27-$V$6)," ")</f>
        <v xml:space="preserve"> </v>
      </c>
      <c r="AD27" s="20" t="e">
        <f>IF(A27&lt;('2. Inputs and results'!$B$21+1),AC27/L27,NA())</f>
        <v>#N/A</v>
      </c>
      <c r="AE27" t="str">
        <f>IF(A27&lt;('2. Inputs and results'!$B$21+1),-'2. Inputs and results'!$B$121*A27," ")</f>
        <v xml:space="preserve"> </v>
      </c>
      <c r="AF27" t="e">
        <f>IF(A27&lt;('2. Inputs and results'!$B$21+1),AE27/1000,NA())</f>
        <v>#N/A</v>
      </c>
    </row>
    <row r="28" spans="1:32" x14ac:dyDescent="0.25">
      <c r="A28">
        <f t="shared" si="0"/>
        <v>23</v>
      </c>
      <c r="B28" t="str">
        <f>IF(A28&lt;('2. Inputs and results'!$B$21+1),A28," ")</f>
        <v xml:space="preserve"> </v>
      </c>
      <c r="C28" s="4" t="str">
        <f>IF(A28&lt;('2. Inputs and results'!$B$21+1),'2. Inputs and results'!$B$99+'2. Inputs and results'!$B$101," ")</f>
        <v xml:space="preserve"> </v>
      </c>
      <c r="D28" s="4" t="e">
        <f>IF(A28&lt;('2. Inputs and results'!$B$21+1),D27+C28,NA())</f>
        <v>#N/A</v>
      </c>
      <c r="E28" s="4" t="str">
        <f>IF(B28&lt;('2. Inputs and results'!$B$21+1),C28/((1+$P$2)^A28)," ")</f>
        <v xml:space="preserve"> </v>
      </c>
      <c r="F28" s="4" t="str">
        <f>IF(A28&lt;('2. Inputs and results'!$B$21+1),F27+E28," ")</f>
        <v xml:space="preserve"> </v>
      </c>
      <c r="G28" s="4" t="str">
        <f>IF(A28&lt;('2. Inputs and results'!$B$21+1),G27*(1+'2. Inputs and results'!$B$44)," ")</f>
        <v xml:space="preserve"> </v>
      </c>
      <c r="H28" s="4" t="str">
        <f>IF(A28&lt;('2. Inputs and results'!$B$21+1),H27*(1+'2. Inputs and results'!$B$56)," ")</f>
        <v xml:space="preserve"> </v>
      </c>
      <c r="I28" s="4" t="str">
        <f>IF(A28&lt;('2. Inputs and results'!$B$21+1),I27*(1+'2. Inputs and results'!$B$32)," ")</f>
        <v xml:space="preserve"> </v>
      </c>
      <c r="J28" s="4" t="str">
        <f>IF(A28&lt;('2. Inputs and results'!$B$21+1),J27*(1+'2. Inputs and results'!$B$66)," ")</f>
        <v xml:space="preserve"> </v>
      </c>
      <c r="K28" s="4" t="e">
        <f>IF('Solution 1, (hidden)'!A28&lt;('2. Inputs and results'!$B$21+1),K27+(G28+I28+H28+J28),NA())</f>
        <v>#N/A</v>
      </c>
      <c r="L28" s="4" t="e">
        <f>IF(A28&lt;('2. Inputs and results'!$B$21+1),L27,NA())</f>
        <v>#N/A</v>
      </c>
      <c r="M28" s="4" t="str">
        <f>IF(A28&lt;('2. Inputs and results'!$B$21+1),'2. Inputs and results'!$B$75*'2. Inputs and results'!$B$73," ")</f>
        <v xml:space="preserve"> </v>
      </c>
      <c r="N28" s="4" t="str">
        <f>IF(A28&lt;('2. Inputs and results'!$B$21+1),M28/((1+$P$2)^A28)," ")</f>
        <v xml:space="preserve"> </v>
      </c>
      <c r="O28" s="4" t="str">
        <f>IF(A28&lt;('2. Inputs and results'!$B$21+1),'2. Inputs and results'!$B$73*'2. Inputs and results'!$B$75+O27," ")</f>
        <v xml:space="preserve"> </v>
      </c>
      <c r="P28" s="4" t="str">
        <f>IF(A28&lt;('2. Inputs and results'!$B$21+1),(G28+I28+H28+J28)/((1+$P$2)^A28)," ")</f>
        <v xml:space="preserve"> </v>
      </c>
      <c r="Q28" s="4" t="str">
        <f>IF(A28&lt;('2. Inputs and results'!$B$21+1),Q27+P28," ")</f>
        <v xml:space="preserve"> </v>
      </c>
      <c r="R28" s="4" t="e">
        <f>IF(A28&lt;('2. Inputs and results'!$B$21+1),R27+G28+I28+J28+H28+T28-$V$6,NA())</f>
        <v>#N/A</v>
      </c>
      <c r="S28" s="4" t="str">
        <f>IF(A28&lt;('2. Inputs and results'!$B$21+1),'2. Inputs and results'!$B$79*(R27)," ")</f>
        <v xml:space="preserve"> </v>
      </c>
      <c r="T28" s="4">
        <f t="shared" si="1"/>
        <v>0</v>
      </c>
      <c r="U28" s="4" t="e">
        <f>IF(A28&lt;('2. Inputs and results'!$B$21+1),U27+(T28+I28+G28+H28+J28-$V$6)/((1+$P$2)^A28),NA())</f>
        <v>#N/A</v>
      </c>
      <c r="V28" s="4" t="str">
        <f>IF(A28&lt;('2. Inputs and results'!$B$21+1),V27+('2. Inputs and results'!$B$75*'2. Inputs and results'!$B$73)," ")</f>
        <v xml:space="preserve"> </v>
      </c>
      <c r="W28" s="4" t="e">
        <f>IF(A28&lt;('2. Inputs and results'!$B$21+1),W27+C28+Y28-$V$6,NA())</f>
        <v>#N/A</v>
      </c>
      <c r="X28" s="4" t="str">
        <f>IF(A28&lt;('2. Inputs and results'!$B$21+1),'2. Inputs and results'!$B$79*W27," ")</f>
        <v xml:space="preserve"> </v>
      </c>
      <c r="Y28" s="4">
        <f t="shared" si="2"/>
        <v>0</v>
      </c>
      <c r="Z28" s="4" t="e">
        <f>IF(A28&lt;('2. Inputs and results'!$B$21+1),Z27+(C28-$V$6+Y28)/((1+$P$2)^A28),NA())</f>
        <v>#N/A</v>
      </c>
      <c r="AA28" s="4" t="str">
        <f>IF(A28&lt;('2. Inputs and results'!$B$21+1),AA27+(G28+I28+H28+T28-$V$6)," ")</f>
        <v xml:space="preserve"> </v>
      </c>
      <c r="AB28" s="20" t="e">
        <f>IF(A28&lt;('2. Inputs and results'!$B$21+1),AA28/L28,NA())</f>
        <v>#N/A</v>
      </c>
      <c r="AC28" s="29" t="str">
        <f>IF(A28&lt;('2. Inputs and results'!$B$21+1),AC27+(C28+Y28-$V$6)," ")</f>
        <v xml:space="preserve"> </v>
      </c>
      <c r="AD28" s="20" t="e">
        <f>IF(A28&lt;('2. Inputs and results'!$B$21+1),AC28/L28,NA())</f>
        <v>#N/A</v>
      </c>
      <c r="AE28" t="str">
        <f>IF(A28&lt;('2. Inputs and results'!$B$21+1),-'2. Inputs and results'!$B$121*A28," ")</f>
        <v xml:space="preserve"> </v>
      </c>
      <c r="AF28" t="e">
        <f>IF(A28&lt;('2. Inputs and results'!$B$21+1),AE28/1000,NA())</f>
        <v>#N/A</v>
      </c>
    </row>
    <row r="29" spans="1:32" x14ac:dyDescent="0.25">
      <c r="A29">
        <f t="shared" si="0"/>
        <v>24</v>
      </c>
      <c r="B29" t="str">
        <f>IF(A29&lt;('2. Inputs and results'!$B$21+1),A29," ")</f>
        <v xml:space="preserve"> </v>
      </c>
      <c r="C29" s="4" t="str">
        <f>IF(A29&lt;('2. Inputs and results'!$B$21+1),'2. Inputs and results'!$B$99+'2. Inputs and results'!$B$101," ")</f>
        <v xml:space="preserve"> </v>
      </c>
      <c r="D29" s="4" t="e">
        <f>IF(A29&lt;('2. Inputs and results'!$B$21+1),D28+C29,NA())</f>
        <v>#N/A</v>
      </c>
      <c r="E29" s="4" t="str">
        <f>IF(B29&lt;('2. Inputs and results'!$B$21+1),C29/((1+$P$2)^A29)," ")</f>
        <v xml:space="preserve"> </v>
      </c>
      <c r="F29" s="4" t="str">
        <f>IF(A29&lt;('2. Inputs and results'!$B$21+1),F28+E29," ")</f>
        <v xml:space="preserve"> </v>
      </c>
      <c r="G29" s="4" t="str">
        <f>IF(A29&lt;('2. Inputs and results'!$B$21+1),G28*(1+'2. Inputs and results'!$B$44)," ")</f>
        <v xml:space="preserve"> </v>
      </c>
      <c r="H29" s="4" t="str">
        <f>IF(A29&lt;('2. Inputs and results'!$B$21+1),H28*(1+'2. Inputs and results'!$B$56)," ")</f>
        <v xml:space="preserve"> </v>
      </c>
      <c r="I29" s="4" t="str">
        <f>IF(A29&lt;('2. Inputs and results'!$B$21+1),I28*(1+'2. Inputs and results'!$B$32)," ")</f>
        <v xml:space="preserve"> </v>
      </c>
      <c r="J29" s="4" t="str">
        <f>IF(A29&lt;('2. Inputs and results'!$B$21+1),J28*(1+'2. Inputs and results'!$B$66)," ")</f>
        <v xml:space="preserve"> </v>
      </c>
      <c r="K29" s="4" t="e">
        <f>IF('Solution 1, (hidden)'!A29&lt;('2. Inputs and results'!$B$21+1),K28+(G29+I29+H29+J29),NA())</f>
        <v>#N/A</v>
      </c>
      <c r="L29" s="4" t="e">
        <f>IF(A29&lt;('2. Inputs and results'!$B$21+1),L28,NA())</f>
        <v>#N/A</v>
      </c>
      <c r="M29" s="4" t="str">
        <f>IF(A29&lt;('2. Inputs and results'!$B$21+1),'2. Inputs and results'!$B$75*'2. Inputs and results'!$B$73," ")</f>
        <v xml:space="preserve"> </v>
      </c>
      <c r="N29" s="4" t="str">
        <f>IF(A29&lt;('2. Inputs and results'!$B$21+1),M29/((1+$P$2)^A29)," ")</f>
        <v xml:space="preserve"> </v>
      </c>
      <c r="O29" s="4" t="str">
        <f>IF(A29&lt;('2. Inputs and results'!$B$21+1),'2. Inputs and results'!$B$73*'2. Inputs and results'!$B$75+O28," ")</f>
        <v xml:space="preserve"> </v>
      </c>
      <c r="P29" s="4" t="str">
        <f>IF(A29&lt;('2. Inputs and results'!$B$21+1),(G29+I29+H29+J29)/((1+$P$2)^A29)," ")</f>
        <v xml:space="preserve"> </v>
      </c>
      <c r="Q29" s="4" t="str">
        <f>IF(A29&lt;('2. Inputs and results'!$B$21+1),Q28+P29," ")</f>
        <v xml:space="preserve"> </v>
      </c>
      <c r="R29" s="4" t="e">
        <f>IF(A29&lt;('2. Inputs and results'!$B$21+1),R28+G29+I29+J29+H29+T29-$V$6,NA())</f>
        <v>#N/A</v>
      </c>
      <c r="S29" s="4" t="str">
        <f>IF(A29&lt;('2. Inputs and results'!$B$21+1),'2. Inputs and results'!$B$79*(R28)," ")</f>
        <v xml:space="preserve"> </v>
      </c>
      <c r="T29" s="4">
        <f t="shared" si="1"/>
        <v>0</v>
      </c>
      <c r="U29" s="4" t="e">
        <f>IF(A29&lt;('2. Inputs and results'!$B$21+1),U28+(T29+I29+G29+H29+J29-$V$6)/((1+$P$2)^A29),NA())</f>
        <v>#N/A</v>
      </c>
      <c r="V29" s="4" t="str">
        <f>IF(A29&lt;('2. Inputs and results'!$B$21+1),V28+('2. Inputs and results'!$B$75*'2. Inputs and results'!$B$73)," ")</f>
        <v xml:space="preserve"> </v>
      </c>
      <c r="W29" s="4" t="e">
        <f>IF(A29&lt;('2. Inputs and results'!$B$21+1),W28+C29+Y29-$V$6,NA())</f>
        <v>#N/A</v>
      </c>
      <c r="X29" s="4" t="str">
        <f>IF(A29&lt;('2. Inputs and results'!$B$21+1),'2. Inputs and results'!$B$79*W28," ")</f>
        <v xml:space="preserve"> </v>
      </c>
      <c r="Y29" s="4">
        <f t="shared" si="2"/>
        <v>0</v>
      </c>
      <c r="Z29" s="4" t="e">
        <f>IF(A29&lt;('2. Inputs and results'!$B$21+1),Z28+(C29-$V$6+Y29)/((1+$P$2)^A29),NA())</f>
        <v>#N/A</v>
      </c>
      <c r="AA29" s="4" t="str">
        <f>IF(A29&lt;('2. Inputs and results'!$B$21+1),AA28+(G29+I29+H29+T29-$V$6)," ")</f>
        <v xml:space="preserve"> </v>
      </c>
      <c r="AB29" s="20" t="e">
        <f>IF(A29&lt;('2. Inputs and results'!$B$21+1),AA29/L29,NA())</f>
        <v>#N/A</v>
      </c>
      <c r="AC29" s="29" t="str">
        <f>IF(A29&lt;('2. Inputs and results'!$B$21+1),AC28+(C29+Y29-$V$6)," ")</f>
        <v xml:space="preserve"> </v>
      </c>
      <c r="AD29" s="20" t="e">
        <f>IF(A29&lt;('2. Inputs and results'!$B$21+1),AC29/L29,NA())</f>
        <v>#N/A</v>
      </c>
      <c r="AE29" t="str">
        <f>IF(A29&lt;('2. Inputs and results'!$B$21+1),-'2. Inputs and results'!$B$121*A29," ")</f>
        <v xml:space="preserve"> </v>
      </c>
      <c r="AF29" t="e">
        <f>IF(A29&lt;('2. Inputs and results'!$B$21+1),AE29/1000,NA())</f>
        <v>#N/A</v>
      </c>
    </row>
    <row r="30" spans="1:32" x14ac:dyDescent="0.25">
      <c r="A30">
        <f t="shared" si="0"/>
        <v>25</v>
      </c>
      <c r="B30" t="str">
        <f>IF(A30&lt;('2. Inputs and results'!$B$21+1),A30," ")</f>
        <v xml:space="preserve"> </v>
      </c>
      <c r="C30" s="4" t="str">
        <f>IF(A30&lt;('2. Inputs and results'!$B$21+1),'2. Inputs and results'!$B$99+'2. Inputs and results'!$B$101," ")</f>
        <v xml:space="preserve"> </v>
      </c>
      <c r="D30" s="4" t="e">
        <f>IF(A30&lt;('2. Inputs and results'!$B$21+1),D29+C30,NA())</f>
        <v>#N/A</v>
      </c>
      <c r="E30" s="4" t="str">
        <f>IF(B30&lt;('2. Inputs and results'!$B$21+1),C30/((1+$P$2)^A30)," ")</f>
        <v xml:space="preserve"> </v>
      </c>
      <c r="F30" s="4" t="str">
        <f>IF(A30&lt;('2. Inputs and results'!$B$21+1),F29+E30," ")</f>
        <v xml:space="preserve"> </v>
      </c>
      <c r="G30" s="4" t="str">
        <f>IF(A30&lt;('2. Inputs and results'!$B$21+1),G29*(1+'2. Inputs and results'!$B$44)," ")</f>
        <v xml:space="preserve"> </v>
      </c>
      <c r="H30" s="4" t="str">
        <f>IF(A30&lt;('2. Inputs and results'!$B$21+1),H29*(1+'2. Inputs and results'!$B$56)," ")</f>
        <v xml:space="preserve"> </v>
      </c>
      <c r="I30" s="4" t="str">
        <f>IF(A30&lt;('2. Inputs and results'!$B$21+1),I29*(1+'2. Inputs and results'!$B$32)," ")</f>
        <v xml:space="preserve"> </v>
      </c>
      <c r="J30" s="4" t="str">
        <f>IF(A30&lt;('2. Inputs and results'!$B$21+1),J29*(1+'2. Inputs and results'!$B$66)," ")</f>
        <v xml:space="preserve"> </v>
      </c>
      <c r="K30" s="4" t="e">
        <f>IF('Solution 1, (hidden)'!A30&lt;('2. Inputs and results'!$B$21+1),K29+(G30+I30+H30+J30),NA())</f>
        <v>#N/A</v>
      </c>
      <c r="L30" s="4" t="e">
        <f>IF(A30&lt;('2. Inputs and results'!$B$21+1),L29,NA())</f>
        <v>#N/A</v>
      </c>
      <c r="M30" s="4" t="str">
        <f>IF(A30&lt;('2. Inputs and results'!$B$21+1),'2. Inputs and results'!$B$75*'2. Inputs and results'!$B$73," ")</f>
        <v xml:space="preserve"> </v>
      </c>
      <c r="N30" s="4" t="str">
        <f>IF(A30&lt;('2. Inputs and results'!$B$21+1),M30/((1+$P$2)^A30)," ")</f>
        <v xml:space="preserve"> </v>
      </c>
      <c r="O30" s="4" t="str">
        <f>IF(A30&lt;('2. Inputs and results'!$B$21+1),'2. Inputs and results'!$B$73*'2. Inputs and results'!$B$75+O29," ")</f>
        <v xml:space="preserve"> </v>
      </c>
      <c r="P30" s="4" t="str">
        <f>IF(A30&lt;('2. Inputs and results'!$B$21+1),(G30+I30+H30+J30)/((1+$P$2)^A30)," ")</f>
        <v xml:space="preserve"> </v>
      </c>
      <c r="Q30" s="4" t="str">
        <f>IF(A30&lt;('2. Inputs and results'!$B$21+1),Q29+P30," ")</f>
        <v xml:space="preserve"> </v>
      </c>
      <c r="R30" s="4" t="e">
        <f>IF(A30&lt;('2. Inputs and results'!$B$21+1),R29+G30+I30+J30+H30+T30-$V$6,NA())</f>
        <v>#N/A</v>
      </c>
      <c r="S30" s="4" t="str">
        <f>IF(A30&lt;('2. Inputs and results'!$B$21+1),'2. Inputs and results'!$B$79*(R29)," ")</f>
        <v xml:space="preserve"> </v>
      </c>
      <c r="T30" s="4">
        <f t="shared" si="1"/>
        <v>0</v>
      </c>
      <c r="U30" s="4" t="e">
        <f>IF(A30&lt;('2. Inputs and results'!$B$21+1),U29+(T30+I30+G30+H30+J30-$V$6)/((1+$P$2)^A30),NA())</f>
        <v>#N/A</v>
      </c>
      <c r="V30" s="4" t="str">
        <f>IF(A30&lt;('2. Inputs and results'!$B$21+1),V29+('2. Inputs and results'!$B$75*'2. Inputs and results'!$B$73)," ")</f>
        <v xml:space="preserve"> </v>
      </c>
      <c r="W30" s="4" t="e">
        <f>IF(A30&lt;('2. Inputs and results'!$B$21+1),W29+C30+Y30-$V$6,NA())</f>
        <v>#N/A</v>
      </c>
      <c r="X30" s="4" t="str">
        <f>IF(A30&lt;('2. Inputs and results'!$B$21+1),'2. Inputs and results'!$B$79*W29," ")</f>
        <v xml:space="preserve"> </v>
      </c>
      <c r="Y30" s="4">
        <f t="shared" si="2"/>
        <v>0</v>
      </c>
      <c r="Z30" s="4" t="e">
        <f>IF(A30&lt;('2. Inputs and results'!$B$21+1),Z29+(C30-$V$6+Y30)/((1+$P$2)^A30),NA())</f>
        <v>#N/A</v>
      </c>
      <c r="AA30" s="4" t="str">
        <f>IF(A30&lt;('2. Inputs and results'!$B$21+1),AA29+(G30+I30+H30+T30-$V$6)," ")</f>
        <v xml:space="preserve"> </v>
      </c>
      <c r="AB30" s="20" t="e">
        <f>IF(A30&lt;('2. Inputs and results'!$B$21+1),AA30/L30,NA())</f>
        <v>#N/A</v>
      </c>
      <c r="AC30" s="29" t="str">
        <f>IF(A30&lt;('2. Inputs and results'!$B$21+1),AC29+(C30+Y30-$V$6)," ")</f>
        <v xml:space="preserve"> </v>
      </c>
      <c r="AD30" s="20" t="e">
        <f>IF(A30&lt;('2. Inputs and results'!$B$21+1),AC30/L30,NA())</f>
        <v>#N/A</v>
      </c>
      <c r="AE30" t="str">
        <f>IF(A30&lt;('2. Inputs and results'!$B$21+1),-'2. Inputs and results'!$B$121*A30," ")</f>
        <v xml:space="preserve"> </v>
      </c>
      <c r="AF30" t="e">
        <f>IF(A30&lt;('2. Inputs and results'!$B$21+1),AE30/1000,NA())</f>
        <v>#N/A</v>
      </c>
    </row>
    <row r="31" spans="1:32" x14ac:dyDescent="0.25">
      <c r="A31">
        <f t="shared" si="0"/>
        <v>26</v>
      </c>
      <c r="B31" t="str">
        <f>IF(A31&lt;('2. Inputs and results'!$B$21+1),A31," ")</f>
        <v xml:space="preserve"> </v>
      </c>
      <c r="C31" s="4" t="str">
        <f>IF(A31&lt;('2. Inputs and results'!$B$21+1),'2. Inputs and results'!$B$99+'2. Inputs and results'!$B$101," ")</f>
        <v xml:space="preserve"> </v>
      </c>
      <c r="D31" s="4" t="e">
        <f>IF(A31&lt;('2. Inputs and results'!$B$21+1),D30+C31,NA())</f>
        <v>#N/A</v>
      </c>
      <c r="E31" s="4" t="str">
        <f>IF(B31&lt;('2. Inputs and results'!$B$21+1),C31/((1+$P$2)^A31)," ")</f>
        <v xml:space="preserve"> </v>
      </c>
      <c r="F31" s="4" t="str">
        <f>IF(A31&lt;('2. Inputs and results'!$B$21+1),F30+E31," ")</f>
        <v xml:space="preserve"> </v>
      </c>
      <c r="G31" s="4" t="str">
        <f>IF(A31&lt;('2. Inputs and results'!$B$21+1),G30*(1+'2. Inputs and results'!$B$44)," ")</f>
        <v xml:space="preserve"> </v>
      </c>
      <c r="H31" s="4" t="str">
        <f>IF(A31&lt;('2. Inputs and results'!$B$21+1),H30*(1+'2. Inputs and results'!$B$56)," ")</f>
        <v xml:space="preserve"> </v>
      </c>
      <c r="I31" s="4" t="str">
        <f>IF(A31&lt;('2. Inputs and results'!$B$21+1),I30*(1+'2. Inputs and results'!$B$32)," ")</f>
        <v xml:space="preserve"> </v>
      </c>
      <c r="J31" s="4" t="str">
        <f>IF(A31&lt;('2. Inputs and results'!$B$21+1),J30*(1+'2. Inputs and results'!$B$66)," ")</f>
        <v xml:space="preserve"> </v>
      </c>
      <c r="K31" s="4" t="e">
        <f>IF('Solution 1, (hidden)'!A31&lt;('2. Inputs and results'!$B$21+1),K30+(G31+I31+H31+J31),NA())</f>
        <v>#N/A</v>
      </c>
      <c r="L31" s="4" t="e">
        <f>IF(A31&lt;('2. Inputs and results'!$B$21+1),L30,NA())</f>
        <v>#N/A</v>
      </c>
      <c r="M31" s="4" t="str">
        <f>IF(A31&lt;('2. Inputs and results'!$B$21+1),'2. Inputs and results'!$B$75*'2. Inputs and results'!$B$73," ")</f>
        <v xml:space="preserve"> </v>
      </c>
      <c r="N31" s="4" t="str">
        <f>IF(A31&lt;('2. Inputs and results'!$B$21+1),M31/((1+$P$2)^A31)," ")</f>
        <v xml:space="preserve"> </v>
      </c>
      <c r="O31" s="4" t="str">
        <f>IF(A31&lt;('2. Inputs and results'!$B$21+1),'2. Inputs and results'!$B$73*'2. Inputs and results'!$B$75+O30," ")</f>
        <v xml:space="preserve"> </v>
      </c>
      <c r="P31" s="4" t="str">
        <f>IF(A31&lt;('2. Inputs and results'!$B$21+1),(G31+I31+H31+J31)/((1+$P$2)^A31)," ")</f>
        <v xml:space="preserve"> </v>
      </c>
      <c r="Q31" s="4" t="str">
        <f>IF(A31&lt;('2. Inputs and results'!$B$21+1),Q30+P31," ")</f>
        <v xml:space="preserve"> </v>
      </c>
      <c r="R31" s="4" t="e">
        <f>IF(A31&lt;('2. Inputs and results'!$B$21+1),R30+G31+I31+J31+H31+T31-$V$6,NA())</f>
        <v>#N/A</v>
      </c>
      <c r="S31" s="4" t="str">
        <f>IF(A31&lt;('2. Inputs and results'!$B$21+1),'2. Inputs and results'!$B$79*(R30)," ")</f>
        <v xml:space="preserve"> </v>
      </c>
      <c r="T31" s="4">
        <f t="shared" si="1"/>
        <v>0</v>
      </c>
      <c r="U31" s="4" t="e">
        <f>IF(A31&lt;('2. Inputs and results'!$B$21+1),U30+(T31+I31+G31+H31+J31-$V$6)/((1+$P$2)^A31),NA())</f>
        <v>#N/A</v>
      </c>
      <c r="V31" s="4" t="str">
        <f>IF(A31&lt;('2. Inputs and results'!$B$21+1),V30+('2. Inputs and results'!$B$75*'2. Inputs and results'!$B$73)," ")</f>
        <v xml:space="preserve"> </v>
      </c>
      <c r="W31" s="4" t="e">
        <f>IF(A31&lt;('2. Inputs and results'!$B$21+1),W30+C31+Y31-$V$6,NA())</f>
        <v>#N/A</v>
      </c>
      <c r="X31" s="4" t="str">
        <f>IF(A31&lt;('2. Inputs and results'!$B$21+1),'2. Inputs and results'!$B$79*W30," ")</f>
        <v xml:space="preserve"> </v>
      </c>
      <c r="Y31" s="4">
        <f t="shared" si="2"/>
        <v>0</v>
      </c>
      <c r="Z31" s="4" t="e">
        <f>IF(A31&lt;('2. Inputs and results'!$B$21+1),Z30+(C31-$V$6+Y31)/((1+$P$2)^A31),NA())</f>
        <v>#N/A</v>
      </c>
      <c r="AA31" s="4" t="str">
        <f>IF(A31&lt;('2. Inputs and results'!$B$21+1),AA30+(G31+I31+H31+T31-$V$6)," ")</f>
        <v xml:space="preserve"> </v>
      </c>
      <c r="AB31" s="20" t="e">
        <f>IF(A31&lt;('2. Inputs and results'!$B$21+1),AA31/L31,NA())</f>
        <v>#N/A</v>
      </c>
      <c r="AC31" s="29" t="str">
        <f>IF(A31&lt;('2. Inputs and results'!$B$21+1),AC30+(C31+Y31-$V$6)," ")</f>
        <v xml:space="preserve"> </v>
      </c>
      <c r="AD31" s="20" t="e">
        <f>IF(A31&lt;('2. Inputs and results'!$B$21+1),AC31/L31,NA())</f>
        <v>#N/A</v>
      </c>
      <c r="AE31" t="str">
        <f>IF(A31&lt;('2. Inputs and results'!$B$21+1),-'2. Inputs and results'!$B$121*A31," ")</f>
        <v xml:space="preserve"> </v>
      </c>
      <c r="AF31" t="e">
        <f>IF(A31&lt;('2. Inputs and results'!$B$21+1),AE31/1000,NA())</f>
        <v>#N/A</v>
      </c>
    </row>
    <row r="32" spans="1:32" x14ac:dyDescent="0.25">
      <c r="A32">
        <f t="shared" si="0"/>
        <v>27</v>
      </c>
      <c r="B32" t="str">
        <f>IF(A32&lt;('2. Inputs and results'!$B$21+1),A32," ")</f>
        <v xml:space="preserve"> </v>
      </c>
      <c r="C32" s="4" t="str">
        <f>IF(A32&lt;('2. Inputs and results'!$B$21+1),'2. Inputs and results'!$B$99+'2. Inputs and results'!$B$101," ")</f>
        <v xml:space="preserve"> </v>
      </c>
      <c r="D32" s="4" t="e">
        <f>IF(A32&lt;('2. Inputs and results'!$B$21+1),D31+C32,NA())</f>
        <v>#N/A</v>
      </c>
      <c r="E32" s="4" t="str">
        <f>IF(B32&lt;('2. Inputs and results'!$B$21+1),C32/((1+$P$2)^A32)," ")</f>
        <v xml:space="preserve"> </v>
      </c>
      <c r="F32" s="4" t="str">
        <f>IF(A32&lt;('2. Inputs and results'!$B$21+1),F31+E32," ")</f>
        <v xml:space="preserve"> </v>
      </c>
      <c r="G32" s="4" t="str">
        <f>IF(A32&lt;('2. Inputs and results'!$B$21+1),G31*(1+'2. Inputs and results'!$B$44)," ")</f>
        <v xml:space="preserve"> </v>
      </c>
      <c r="H32" s="4" t="str">
        <f>IF(A32&lt;('2. Inputs and results'!$B$21+1),H31*(1+'2. Inputs and results'!$B$56)," ")</f>
        <v xml:space="preserve"> </v>
      </c>
      <c r="I32" s="4" t="str">
        <f>IF(A32&lt;('2. Inputs and results'!$B$21+1),I31*(1+'2. Inputs and results'!$B$32)," ")</f>
        <v xml:space="preserve"> </v>
      </c>
      <c r="J32" s="4" t="str">
        <f>IF(A32&lt;('2. Inputs and results'!$B$21+1),J31*(1+'2. Inputs and results'!$B$66)," ")</f>
        <v xml:space="preserve"> </v>
      </c>
      <c r="K32" s="4" t="e">
        <f>IF('Solution 1, (hidden)'!A32&lt;('2. Inputs and results'!$B$21+1),K31+(G32+I32+H32+J32),NA())</f>
        <v>#N/A</v>
      </c>
      <c r="L32" s="4" t="e">
        <f>IF(A32&lt;('2. Inputs and results'!$B$21+1),L31,NA())</f>
        <v>#N/A</v>
      </c>
      <c r="M32" s="4" t="str">
        <f>IF(A32&lt;('2. Inputs and results'!$B$21+1),'2. Inputs and results'!$B$75*'2. Inputs and results'!$B$73," ")</f>
        <v xml:space="preserve"> </v>
      </c>
      <c r="N32" s="4" t="str">
        <f>IF(A32&lt;('2. Inputs and results'!$B$21+1),M32/((1+$P$2)^A32)," ")</f>
        <v xml:space="preserve"> </v>
      </c>
      <c r="O32" s="4" t="str">
        <f>IF(A32&lt;('2. Inputs and results'!$B$21+1),'2. Inputs and results'!$B$73*'2. Inputs and results'!$B$75+O31," ")</f>
        <v xml:space="preserve"> </v>
      </c>
      <c r="P32" s="4" t="str">
        <f>IF(A32&lt;('2. Inputs and results'!$B$21+1),(G32+I32+H32+J32)/((1+$P$2)^A32)," ")</f>
        <v xml:space="preserve"> </v>
      </c>
      <c r="Q32" s="4" t="str">
        <f>IF(A32&lt;('2. Inputs and results'!$B$21+1),Q31+P32," ")</f>
        <v xml:space="preserve"> </v>
      </c>
      <c r="R32" s="4" t="e">
        <f>IF(A32&lt;('2. Inputs and results'!$B$21+1),R31+G32+I32+J32+H32+T32-$V$6,NA())</f>
        <v>#N/A</v>
      </c>
      <c r="S32" s="4" t="str">
        <f>IF(A32&lt;('2. Inputs and results'!$B$21+1),'2. Inputs and results'!$B$79*(R31)," ")</f>
        <v xml:space="preserve"> </v>
      </c>
      <c r="T32" s="4">
        <f t="shared" si="1"/>
        <v>0</v>
      </c>
      <c r="U32" s="4" t="e">
        <f>IF(A32&lt;('2. Inputs and results'!$B$21+1),U31+(T32+I32+G32+H32+J32-$V$6)/((1+$P$2)^A32),NA())</f>
        <v>#N/A</v>
      </c>
      <c r="V32" s="4" t="str">
        <f>IF(A32&lt;('2. Inputs and results'!$B$21+1),V31+('2. Inputs and results'!$B$75*'2. Inputs and results'!$B$73)," ")</f>
        <v xml:space="preserve"> </v>
      </c>
      <c r="W32" s="4" t="e">
        <f>IF(A32&lt;('2. Inputs and results'!$B$21+1),W31+C32+Y32-$V$6,NA())</f>
        <v>#N/A</v>
      </c>
      <c r="X32" s="4" t="str">
        <f>IF(A32&lt;('2. Inputs and results'!$B$21+1),'2. Inputs and results'!$B$79*W31," ")</f>
        <v xml:space="preserve"> </v>
      </c>
      <c r="Y32" s="4">
        <f t="shared" si="2"/>
        <v>0</v>
      </c>
      <c r="Z32" s="4" t="e">
        <f>IF(A32&lt;('2. Inputs and results'!$B$21+1),Z31+(C32-$V$6+Y32)/((1+$P$2)^A32),NA())</f>
        <v>#N/A</v>
      </c>
      <c r="AA32" s="4" t="str">
        <f>IF(A32&lt;('2. Inputs and results'!$B$21+1),AA31+(G32+I32+H32+T32-$V$6)," ")</f>
        <v xml:space="preserve"> </v>
      </c>
      <c r="AB32" s="20" t="e">
        <f>IF(A32&lt;('2. Inputs and results'!$B$21+1),AA32/L32,NA())</f>
        <v>#N/A</v>
      </c>
      <c r="AC32" s="29" t="str">
        <f>IF(A32&lt;('2. Inputs and results'!$B$21+1),AC31+(C32+Y32-$V$6)," ")</f>
        <v xml:space="preserve"> </v>
      </c>
      <c r="AD32" s="20" t="e">
        <f>IF(A32&lt;('2. Inputs and results'!$B$21+1),AC32/L32,NA())</f>
        <v>#N/A</v>
      </c>
      <c r="AE32" t="str">
        <f>IF(A32&lt;('2. Inputs and results'!$B$21+1),-'2. Inputs and results'!$B$121*A32," ")</f>
        <v xml:space="preserve"> </v>
      </c>
      <c r="AF32" t="e">
        <f>IF(A32&lt;('2. Inputs and results'!$B$21+1),AE32/1000,NA())</f>
        <v>#N/A</v>
      </c>
    </row>
    <row r="33" spans="1:32" x14ac:dyDescent="0.25">
      <c r="A33">
        <f t="shared" si="0"/>
        <v>28</v>
      </c>
      <c r="B33" t="str">
        <f>IF(A33&lt;('2. Inputs and results'!$B$21+1),A33," ")</f>
        <v xml:space="preserve"> </v>
      </c>
      <c r="C33" s="4" t="str">
        <f>IF(A33&lt;('2. Inputs and results'!$B$21+1),'2. Inputs and results'!$B$99+'2. Inputs and results'!$B$101," ")</f>
        <v xml:space="preserve"> </v>
      </c>
      <c r="D33" s="4" t="e">
        <f>IF(A33&lt;('2. Inputs and results'!$B$21+1),D32+C33,NA())</f>
        <v>#N/A</v>
      </c>
      <c r="E33" s="4" t="str">
        <f>IF(B33&lt;('2. Inputs and results'!$B$21+1),C33/((1+$P$2)^A33)," ")</f>
        <v xml:space="preserve"> </v>
      </c>
      <c r="F33" s="4" t="str">
        <f>IF(A33&lt;('2. Inputs and results'!$B$21+1),F32+E33," ")</f>
        <v xml:space="preserve"> </v>
      </c>
      <c r="G33" s="4" t="str">
        <f>IF(A33&lt;('2. Inputs and results'!$B$21+1),G32*(1+'2. Inputs and results'!$B$44)," ")</f>
        <v xml:space="preserve"> </v>
      </c>
      <c r="H33" s="4" t="str">
        <f>IF(A33&lt;('2. Inputs and results'!$B$21+1),H32*(1+'2. Inputs and results'!$B$56)," ")</f>
        <v xml:space="preserve"> </v>
      </c>
      <c r="I33" s="4" t="str">
        <f>IF(A33&lt;('2. Inputs and results'!$B$21+1),I32*(1+'2. Inputs and results'!$B$32)," ")</f>
        <v xml:space="preserve"> </v>
      </c>
      <c r="J33" s="4" t="str">
        <f>IF(A33&lt;('2. Inputs and results'!$B$21+1),J32*(1+'2. Inputs and results'!$B$66)," ")</f>
        <v xml:space="preserve"> </v>
      </c>
      <c r="K33" s="4" t="e">
        <f>IF('Solution 1, (hidden)'!A33&lt;('2. Inputs and results'!$B$21+1),K32+(G33+I33+H33+J33),NA())</f>
        <v>#N/A</v>
      </c>
      <c r="L33" s="4" t="e">
        <f>IF(A33&lt;('2. Inputs and results'!$B$21+1),L32,NA())</f>
        <v>#N/A</v>
      </c>
      <c r="M33" s="4" t="str">
        <f>IF(A33&lt;('2. Inputs and results'!$B$21+1),'2. Inputs and results'!$B$75*'2. Inputs and results'!$B$73," ")</f>
        <v xml:space="preserve"> </v>
      </c>
      <c r="N33" s="4" t="str">
        <f>IF(A33&lt;('2. Inputs and results'!$B$21+1),M33/((1+$P$2)^A33)," ")</f>
        <v xml:space="preserve"> </v>
      </c>
      <c r="O33" s="4" t="str">
        <f>IF(A33&lt;('2. Inputs and results'!$B$21+1),'2. Inputs and results'!$B$73*'2. Inputs and results'!$B$75+O32," ")</f>
        <v xml:space="preserve"> </v>
      </c>
      <c r="P33" s="4" t="str">
        <f>IF(A33&lt;('2. Inputs and results'!$B$21+1),(G33+I33+H33+J33)/((1+$P$2)^A33)," ")</f>
        <v xml:space="preserve"> </v>
      </c>
      <c r="Q33" s="4" t="str">
        <f>IF(A33&lt;('2. Inputs and results'!$B$21+1),Q32+P33," ")</f>
        <v xml:space="preserve"> </v>
      </c>
      <c r="R33" s="4" t="e">
        <f>IF(A33&lt;('2. Inputs and results'!$B$21+1),R32+G33+I33+J33+H33+T33-$V$6,NA())</f>
        <v>#N/A</v>
      </c>
      <c r="S33" s="4" t="str">
        <f>IF(A33&lt;('2. Inputs and results'!$B$21+1),'2. Inputs and results'!$B$79*(R32)," ")</f>
        <v xml:space="preserve"> </v>
      </c>
      <c r="T33" s="4">
        <f t="shared" si="1"/>
        <v>0</v>
      </c>
      <c r="U33" s="4" t="e">
        <f>IF(A33&lt;('2. Inputs and results'!$B$21+1),U32+(T33+I33+G33+H33+J33-$V$6)/((1+$P$2)^A33),NA())</f>
        <v>#N/A</v>
      </c>
      <c r="V33" s="4" t="str">
        <f>IF(A33&lt;('2. Inputs and results'!$B$21+1),V32+('2. Inputs and results'!$B$75*'2. Inputs and results'!$B$73)," ")</f>
        <v xml:space="preserve"> </v>
      </c>
      <c r="W33" s="4" t="e">
        <f>IF(A33&lt;('2. Inputs and results'!$B$21+1),W32+C33+Y33-$V$6,NA())</f>
        <v>#N/A</v>
      </c>
      <c r="X33" s="4" t="str">
        <f>IF(A33&lt;('2. Inputs and results'!$B$21+1),'2. Inputs and results'!$B$79*W32," ")</f>
        <v xml:space="preserve"> </v>
      </c>
      <c r="Y33" s="4">
        <f t="shared" si="2"/>
        <v>0</v>
      </c>
      <c r="Z33" s="4" t="e">
        <f>IF(A33&lt;('2. Inputs and results'!$B$21+1),Z32+(C33-$V$6+Y33)/((1+$P$2)^A33),NA())</f>
        <v>#N/A</v>
      </c>
      <c r="AA33" s="4" t="str">
        <f>IF(A33&lt;('2. Inputs and results'!$B$21+1),AA32+(G33+I33+H33+T33-$V$6)," ")</f>
        <v xml:space="preserve"> </v>
      </c>
      <c r="AB33" s="20" t="e">
        <f>IF(A33&lt;('2. Inputs and results'!$B$21+1),AA33/L33,NA())</f>
        <v>#N/A</v>
      </c>
      <c r="AC33" s="29" t="str">
        <f>IF(A33&lt;('2. Inputs and results'!$B$21+1),AC32+(C33+Y33-$V$6)," ")</f>
        <v xml:space="preserve"> </v>
      </c>
      <c r="AD33" s="20" t="e">
        <f>IF(A33&lt;('2. Inputs and results'!$B$21+1),AC33/L33,NA())</f>
        <v>#N/A</v>
      </c>
      <c r="AE33" t="str">
        <f>IF(A33&lt;('2. Inputs and results'!$B$21+1),-'2. Inputs and results'!$B$121*A33," ")</f>
        <v xml:space="preserve"> </v>
      </c>
      <c r="AF33" t="e">
        <f>IF(A33&lt;('2. Inputs and results'!$B$21+1),AE33/1000,NA())</f>
        <v>#N/A</v>
      </c>
    </row>
    <row r="34" spans="1:32" x14ac:dyDescent="0.25">
      <c r="A34">
        <f t="shared" si="0"/>
        <v>29</v>
      </c>
      <c r="B34" t="str">
        <f>IF(A34&lt;('2. Inputs and results'!$B$21+1),A34," ")</f>
        <v xml:space="preserve"> </v>
      </c>
      <c r="C34" s="4" t="str">
        <f>IF(A34&lt;('2. Inputs and results'!$B$21+1),'2. Inputs and results'!$B$99+'2. Inputs and results'!$B$101," ")</f>
        <v xml:space="preserve"> </v>
      </c>
      <c r="D34" s="4" t="e">
        <f>IF(A34&lt;('2. Inputs and results'!$B$21+1),D33+C34,NA())</f>
        <v>#N/A</v>
      </c>
      <c r="E34" s="4" t="str">
        <f>IF(B34&lt;('2. Inputs and results'!$B$21+1),C34/((1+$P$2)^A34)," ")</f>
        <v xml:space="preserve"> </v>
      </c>
      <c r="F34" s="4" t="str">
        <f>IF(A34&lt;('2. Inputs and results'!$B$21+1),F33+E34," ")</f>
        <v xml:space="preserve"> </v>
      </c>
      <c r="G34" s="4" t="str">
        <f>IF(A34&lt;('2. Inputs and results'!$B$21+1),G33*(1+'2. Inputs and results'!$B$44)," ")</f>
        <v xml:space="preserve"> </v>
      </c>
      <c r="H34" s="4" t="str">
        <f>IF(A34&lt;('2. Inputs and results'!$B$21+1),H33*(1+'2. Inputs and results'!$B$56)," ")</f>
        <v xml:space="preserve"> </v>
      </c>
      <c r="I34" s="4" t="str">
        <f>IF(A34&lt;('2. Inputs and results'!$B$21+1),I33*(1+'2. Inputs and results'!$B$32)," ")</f>
        <v xml:space="preserve"> </v>
      </c>
      <c r="J34" s="4" t="str">
        <f>IF(A34&lt;('2. Inputs and results'!$B$21+1),J33*(1+'2. Inputs and results'!$B$66)," ")</f>
        <v xml:space="preserve"> </v>
      </c>
      <c r="K34" s="4" t="e">
        <f>IF('Solution 1, (hidden)'!A34&lt;('2. Inputs and results'!$B$21+1),K33+(G34+I34+H34+J34),NA())</f>
        <v>#N/A</v>
      </c>
      <c r="L34" s="4" t="e">
        <f>IF(A34&lt;('2. Inputs and results'!$B$21+1),L33,NA())</f>
        <v>#N/A</v>
      </c>
      <c r="M34" s="4" t="str">
        <f>IF(A34&lt;('2. Inputs and results'!$B$21+1),'2. Inputs and results'!$B$75*'2. Inputs and results'!$B$73," ")</f>
        <v xml:space="preserve"> </v>
      </c>
      <c r="N34" s="4" t="str">
        <f>IF(A34&lt;('2. Inputs and results'!$B$21+1),M34/((1+$P$2)^A34)," ")</f>
        <v xml:space="preserve"> </v>
      </c>
      <c r="O34" s="4" t="str">
        <f>IF(A34&lt;('2. Inputs and results'!$B$21+1),'2. Inputs and results'!$B$73*'2. Inputs and results'!$B$75+O33," ")</f>
        <v xml:space="preserve"> </v>
      </c>
      <c r="P34" s="4" t="str">
        <f>IF(A34&lt;('2. Inputs and results'!$B$21+1),(G34+I34+H34+J34)/((1+$P$2)^A34)," ")</f>
        <v xml:space="preserve"> </v>
      </c>
      <c r="Q34" s="4" t="str">
        <f>IF(A34&lt;('2. Inputs and results'!$B$21+1),Q33+P34," ")</f>
        <v xml:space="preserve"> </v>
      </c>
      <c r="R34" s="4" t="e">
        <f>IF(A34&lt;('2. Inputs and results'!$B$21+1),R33+G34+I34+J34+H34+T34-$V$6,NA())</f>
        <v>#N/A</v>
      </c>
      <c r="S34" s="4" t="str">
        <f>IF(A34&lt;('2. Inputs and results'!$B$21+1),'2. Inputs and results'!$B$79*(R33)," ")</f>
        <v xml:space="preserve"> </v>
      </c>
      <c r="T34" s="4">
        <f t="shared" si="1"/>
        <v>0</v>
      </c>
      <c r="U34" s="4" t="e">
        <f>IF(A34&lt;('2. Inputs and results'!$B$21+1),U33+(T34+I34+G34+H34+J34-$V$6)/((1+$P$2)^A34),NA())</f>
        <v>#N/A</v>
      </c>
      <c r="V34" s="4" t="str">
        <f>IF(A34&lt;('2. Inputs and results'!$B$21+1),V33+('2. Inputs and results'!$B$75*'2. Inputs and results'!$B$73)," ")</f>
        <v xml:space="preserve"> </v>
      </c>
      <c r="W34" s="4" t="e">
        <f>IF(A34&lt;('2. Inputs and results'!$B$21+1),W33+C34+Y34-$V$6,NA())</f>
        <v>#N/A</v>
      </c>
      <c r="X34" s="4" t="str">
        <f>IF(A34&lt;('2. Inputs and results'!$B$21+1),'2. Inputs and results'!$B$79*W33," ")</f>
        <v xml:space="preserve"> </v>
      </c>
      <c r="Y34" s="4">
        <f t="shared" si="2"/>
        <v>0</v>
      </c>
      <c r="Z34" s="4" t="e">
        <f>IF(A34&lt;('2. Inputs and results'!$B$21+1),Z33+(C34-$V$6+Y34)/((1+$P$2)^A34),NA())</f>
        <v>#N/A</v>
      </c>
      <c r="AA34" s="4" t="str">
        <f>IF(A34&lt;('2. Inputs and results'!$B$21+1),AA33+(G34+I34+H34+T34-$V$6)," ")</f>
        <v xml:space="preserve"> </v>
      </c>
      <c r="AB34" s="20" t="e">
        <f>IF(A34&lt;('2. Inputs and results'!$B$21+1),AA34/L34,NA())</f>
        <v>#N/A</v>
      </c>
      <c r="AC34" s="29" t="str">
        <f>IF(A34&lt;('2. Inputs and results'!$B$21+1),AC33+(C34+Y34-$V$6)," ")</f>
        <v xml:space="preserve"> </v>
      </c>
      <c r="AD34" s="20" t="e">
        <f>IF(A34&lt;('2. Inputs and results'!$B$21+1),AC34/L34,NA())</f>
        <v>#N/A</v>
      </c>
      <c r="AE34" t="str">
        <f>IF(A34&lt;('2. Inputs and results'!$B$21+1),-'2. Inputs and results'!$B$121*A34," ")</f>
        <v xml:space="preserve"> </v>
      </c>
      <c r="AF34" t="e">
        <f>IF(A34&lt;('2. Inputs and results'!$B$21+1),AE34/1000,NA())</f>
        <v>#N/A</v>
      </c>
    </row>
    <row r="35" spans="1:32" x14ac:dyDescent="0.25">
      <c r="A35">
        <f t="shared" si="0"/>
        <v>30</v>
      </c>
      <c r="B35" t="str">
        <f>IF(A35&lt;('2. Inputs and results'!$B$21+1),A35," ")</f>
        <v xml:space="preserve"> </v>
      </c>
      <c r="C35" s="4" t="str">
        <f>IF(A35&lt;('2. Inputs and results'!$B$21+1),'2. Inputs and results'!$B$99+'2. Inputs and results'!$B$101," ")</f>
        <v xml:space="preserve"> </v>
      </c>
      <c r="D35" s="4" t="e">
        <f>IF(A35&lt;('2. Inputs and results'!$B$21+1),D34+C35,NA())</f>
        <v>#N/A</v>
      </c>
      <c r="E35" s="4" t="str">
        <f>IF(B35&lt;('2. Inputs and results'!$B$21+1),C35/((1+$P$2)^A35)," ")</f>
        <v xml:space="preserve"> </v>
      </c>
      <c r="F35" s="4" t="str">
        <f>IF(A35&lt;('2. Inputs and results'!$B$21+1),F34+E35," ")</f>
        <v xml:space="preserve"> </v>
      </c>
      <c r="G35" s="4" t="str">
        <f>IF(A35&lt;('2. Inputs and results'!$B$21+1),G34*(1+'2. Inputs and results'!$B$44)," ")</f>
        <v xml:space="preserve"> </v>
      </c>
      <c r="H35" s="4" t="str">
        <f>IF(A35&lt;('2. Inputs and results'!$B$21+1),H34*(1+'2. Inputs and results'!$B$56)," ")</f>
        <v xml:space="preserve"> </v>
      </c>
      <c r="I35" s="4" t="str">
        <f>IF(A35&lt;('2. Inputs and results'!$B$21+1),I34*(1+'2. Inputs and results'!$B$32)," ")</f>
        <v xml:space="preserve"> </v>
      </c>
      <c r="J35" s="4" t="str">
        <f>IF(A35&lt;('2. Inputs and results'!$B$21+1),J34*(1+'2. Inputs and results'!$B$66)," ")</f>
        <v xml:space="preserve"> </v>
      </c>
      <c r="K35" s="4" t="e">
        <f>IF('Solution 1, (hidden)'!A35&lt;('2. Inputs and results'!$B$21+1),K34+(G35+I35+H35+J35),NA())</f>
        <v>#N/A</v>
      </c>
      <c r="L35" s="4" t="e">
        <f>IF(A35&lt;('2. Inputs and results'!$B$21+1),L34,NA())</f>
        <v>#N/A</v>
      </c>
      <c r="M35" s="4" t="str">
        <f>IF(A35&lt;('2. Inputs and results'!$B$21+1),'2. Inputs and results'!$B$75*'2. Inputs and results'!$B$73," ")</f>
        <v xml:space="preserve"> </v>
      </c>
      <c r="N35" s="4" t="str">
        <f>IF(A35&lt;('2. Inputs and results'!$B$21+1),M35/((1+$P$2)^A35)," ")</f>
        <v xml:space="preserve"> </v>
      </c>
      <c r="O35" s="4" t="str">
        <f>IF(A35&lt;('2. Inputs and results'!$B$21+1),'2. Inputs and results'!$B$73*'2. Inputs and results'!$B$75+O34," ")</f>
        <v xml:space="preserve"> </v>
      </c>
      <c r="P35" s="4" t="str">
        <f>IF(A35&lt;('2. Inputs and results'!$B$21+1),(G35+I35+H35+J35)/((1+$P$2)^A35)," ")</f>
        <v xml:space="preserve"> </v>
      </c>
      <c r="Q35" s="4" t="str">
        <f>IF(A35&lt;('2. Inputs and results'!$B$21+1),Q34+P35," ")</f>
        <v xml:space="preserve"> </v>
      </c>
      <c r="R35" s="4" t="e">
        <f>IF(A35&lt;('2. Inputs and results'!$B$21+1),R34+G35+I35+J35+H35+T35-$V$6,NA())</f>
        <v>#N/A</v>
      </c>
      <c r="S35" s="4" t="str">
        <f>IF(A35&lt;('2. Inputs and results'!$B$21+1),'2. Inputs and results'!$B$79*(R34)," ")</f>
        <v xml:space="preserve"> </v>
      </c>
      <c r="T35" s="4">
        <f t="shared" si="1"/>
        <v>0</v>
      </c>
      <c r="U35" s="4" t="e">
        <f>IF(A35&lt;('2. Inputs and results'!$B$21+1),U34+(T35+I35+G35+H35+J35-$V$6)/((1+$P$2)^A35),NA())</f>
        <v>#N/A</v>
      </c>
      <c r="V35" s="4" t="str">
        <f>IF(A35&lt;('2. Inputs and results'!$B$21+1),V34+('2. Inputs and results'!$B$75*'2. Inputs and results'!$B$73)," ")</f>
        <v xml:space="preserve"> </v>
      </c>
      <c r="W35" s="4" t="e">
        <f>IF(A35&lt;('2. Inputs and results'!$B$21+1),W34+C35+Y35-$V$6,NA())</f>
        <v>#N/A</v>
      </c>
      <c r="X35" s="4" t="str">
        <f>IF(A35&lt;('2. Inputs and results'!$B$21+1),'2. Inputs and results'!$B$79*W34," ")</f>
        <v xml:space="preserve"> </v>
      </c>
      <c r="Y35" s="4">
        <f t="shared" si="2"/>
        <v>0</v>
      </c>
      <c r="Z35" s="4" t="e">
        <f>IF(A35&lt;('2. Inputs and results'!$B$21+1),Z34+(C35-$V$6+Y35)/((1+$P$2)^A35),NA())</f>
        <v>#N/A</v>
      </c>
      <c r="AA35" s="4" t="str">
        <f>IF(A35&lt;('2. Inputs and results'!$B$21+1),AA34+(G35+I35+H35+T35-$V$6)," ")</f>
        <v xml:space="preserve"> </v>
      </c>
      <c r="AB35" s="20" t="e">
        <f>IF(A35&lt;('2. Inputs and results'!$B$21+1),AA35/L35,NA())</f>
        <v>#N/A</v>
      </c>
      <c r="AC35" s="29" t="str">
        <f>IF(A35&lt;('2. Inputs and results'!$B$21+1),AC34+(C35+Y35-$V$6)," ")</f>
        <v xml:space="preserve"> </v>
      </c>
      <c r="AD35" s="20" t="e">
        <f>IF(A35&lt;('2. Inputs and results'!$B$21+1),AC35/L35,NA())</f>
        <v>#N/A</v>
      </c>
      <c r="AE35" t="str">
        <f>IF(A35&lt;('2. Inputs and results'!$B$21+1),-'2. Inputs and results'!$B$121*A35," ")</f>
        <v xml:space="preserve"> </v>
      </c>
      <c r="AF35" t="e">
        <f>IF(A35&lt;('2. Inputs and results'!$B$21+1),AE35/1000,NA())</f>
        <v>#N/A</v>
      </c>
    </row>
    <row r="36" spans="1:32" x14ac:dyDescent="0.25">
      <c r="A36">
        <f t="shared" si="0"/>
        <v>31</v>
      </c>
      <c r="B36" t="str">
        <f>IF(A36&lt;('2. Inputs and results'!$B$21+1),A36," ")</f>
        <v xml:space="preserve"> </v>
      </c>
      <c r="C36" s="4" t="str">
        <f>IF(A36&lt;('2. Inputs and results'!$B$21+1),'2. Inputs and results'!$B$99+'2. Inputs and results'!$B$101," ")</f>
        <v xml:space="preserve"> </v>
      </c>
      <c r="D36" s="4" t="e">
        <f>IF(A36&lt;('2. Inputs and results'!$B$21+1),D35+C36,NA())</f>
        <v>#N/A</v>
      </c>
      <c r="E36" s="4" t="str">
        <f>IF(B36&lt;('2. Inputs and results'!$B$21+1),C36/((1+$P$2)^A36)," ")</f>
        <v xml:space="preserve"> </v>
      </c>
      <c r="F36" s="4" t="str">
        <f>IF(A36&lt;('2. Inputs and results'!$B$21+1),F35+E36," ")</f>
        <v xml:space="preserve"> </v>
      </c>
      <c r="G36" s="4" t="str">
        <f>IF(A36&lt;('2. Inputs and results'!$B$21+1),G35*(1+'2. Inputs and results'!$B$44)," ")</f>
        <v xml:space="preserve"> </v>
      </c>
      <c r="H36" s="4" t="str">
        <f>IF(A36&lt;('2. Inputs and results'!$B$21+1),H35*(1+'2. Inputs and results'!$B$56)," ")</f>
        <v xml:space="preserve"> </v>
      </c>
      <c r="I36" s="4" t="str">
        <f>IF(A36&lt;('2. Inputs and results'!$B$21+1),I35*(1+'2. Inputs and results'!$B$32)," ")</f>
        <v xml:space="preserve"> </v>
      </c>
      <c r="J36" s="4" t="str">
        <f>IF(A36&lt;('2. Inputs and results'!$B$21+1),J35*(1+'2. Inputs and results'!$B$66)," ")</f>
        <v xml:space="preserve"> </v>
      </c>
      <c r="K36" s="4" t="e">
        <f>IF('Solution 1, (hidden)'!A36&lt;('2. Inputs and results'!$B$21+1),K35+(G36+I36+H36+J36),NA())</f>
        <v>#N/A</v>
      </c>
      <c r="L36" s="4" t="e">
        <f>IF(A36&lt;('2. Inputs and results'!$B$21+1),L35,NA())</f>
        <v>#N/A</v>
      </c>
      <c r="M36" s="4" t="str">
        <f>IF(A36&lt;('2. Inputs and results'!$B$21+1),'2. Inputs and results'!$B$75*'2. Inputs and results'!$B$73," ")</f>
        <v xml:space="preserve"> </v>
      </c>
      <c r="N36" s="4" t="str">
        <f>IF(A36&lt;('2. Inputs and results'!$B$21+1),M36/((1+$P$2)^A36)," ")</f>
        <v xml:space="preserve"> </v>
      </c>
      <c r="O36" s="4" t="str">
        <f>IF(A36&lt;('2. Inputs and results'!$B$21+1),'2. Inputs and results'!$B$73*'2. Inputs and results'!$B$75+O35," ")</f>
        <v xml:space="preserve"> </v>
      </c>
      <c r="P36" s="4" t="str">
        <f>IF(A36&lt;('2. Inputs and results'!$B$21+1),(G36+I36+H36+J36)/((1+$P$2)^A36)," ")</f>
        <v xml:space="preserve"> </v>
      </c>
      <c r="Q36" s="4" t="str">
        <f>IF(A36&lt;('2. Inputs and results'!$B$21+1),Q35+P36," ")</f>
        <v xml:space="preserve"> </v>
      </c>
      <c r="R36" s="4" t="e">
        <f>IF(A36&lt;('2. Inputs and results'!$B$21+1),R35+G36+I36+J36+H36+T36-$V$6,NA())</f>
        <v>#N/A</v>
      </c>
      <c r="S36" s="4" t="str">
        <f>IF(A36&lt;('2. Inputs and results'!$B$21+1),'2. Inputs and results'!$B$79*(R35)," ")</f>
        <v xml:space="preserve"> </v>
      </c>
      <c r="T36" s="4">
        <f t="shared" si="1"/>
        <v>0</v>
      </c>
      <c r="U36" s="4" t="e">
        <f>IF(A36&lt;('2. Inputs and results'!$B$21+1),U35+(T36+I36+G36+H36+J36-$V$6)/((1+$P$2)^A36),NA())</f>
        <v>#N/A</v>
      </c>
      <c r="V36" s="4" t="str">
        <f>IF(A36&lt;('2. Inputs and results'!$B$21+1),V35+('2. Inputs and results'!$B$75*'2. Inputs and results'!$B$73)," ")</f>
        <v xml:space="preserve"> </v>
      </c>
      <c r="W36" s="4" t="e">
        <f>IF(A36&lt;('2. Inputs and results'!$B$21+1),W35+C36+Y36-$V$6,NA())</f>
        <v>#N/A</v>
      </c>
      <c r="X36" s="4" t="str">
        <f>IF(A36&lt;('2. Inputs and results'!$B$21+1),'2. Inputs and results'!$B$79*W35," ")</f>
        <v xml:space="preserve"> </v>
      </c>
      <c r="Y36" s="4">
        <f t="shared" si="2"/>
        <v>0</v>
      </c>
      <c r="Z36" s="4" t="e">
        <f>IF(A36&lt;('2. Inputs and results'!$B$21+1),Z35+(C36-$V$6+Y36)/((1+$P$2)^A36),NA())</f>
        <v>#N/A</v>
      </c>
      <c r="AA36" s="4" t="str">
        <f>IF(A36&lt;('2. Inputs and results'!$B$21+1),AA35+(G36+I36+H36+T36-$V$6)," ")</f>
        <v xml:space="preserve"> </v>
      </c>
      <c r="AB36" s="20" t="e">
        <f>IF(A36&lt;('2. Inputs and results'!$B$21+1),AA36/L36,NA())</f>
        <v>#N/A</v>
      </c>
      <c r="AC36" s="29" t="str">
        <f>IF(A36&lt;('2. Inputs and results'!$B$21+1),AC35+(C36+Y36-$V$6)," ")</f>
        <v xml:space="preserve"> </v>
      </c>
      <c r="AD36" s="20" t="e">
        <f>IF(A36&lt;('2. Inputs and results'!$B$21+1),AC36/L36,NA())</f>
        <v>#N/A</v>
      </c>
      <c r="AE36" t="str">
        <f>IF(A36&lt;('2. Inputs and results'!$B$21+1),-'2. Inputs and results'!$B$121*A36," ")</f>
        <v xml:space="preserve"> </v>
      </c>
      <c r="AF36" t="e">
        <f>IF(A36&lt;('2. Inputs and results'!$B$21+1),AE36/1000,NA())</f>
        <v>#N/A</v>
      </c>
    </row>
    <row r="37" spans="1:32" x14ac:dyDescent="0.25">
      <c r="A37">
        <f t="shared" si="0"/>
        <v>32</v>
      </c>
      <c r="B37" t="str">
        <f>IF(A37&lt;('2. Inputs and results'!$B$21+1),A37," ")</f>
        <v xml:space="preserve"> </v>
      </c>
      <c r="C37" s="4" t="str">
        <f>IF(A37&lt;('2. Inputs and results'!$B$21+1),'2. Inputs and results'!$B$99+'2. Inputs and results'!$B$101," ")</f>
        <v xml:space="preserve"> </v>
      </c>
      <c r="D37" s="4" t="e">
        <f>IF(A37&lt;('2. Inputs and results'!$B$21+1),D36+C37,NA())</f>
        <v>#N/A</v>
      </c>
      <c r="E37" s="4" t="str">
        <f>IF(B37&lt;('2. Inputs and results'!$B$21+1),C37/((1+$P$2)^A37)," ")</f>
        <v xml:space="preserve"> </v>
      </c>
      <c r="F37" s="4" t="str">
        <f>IF(A37&lt;('2. Inputs and results'!$B$21+1),F36+E37," ")</f>
        <v xml:space="preserve"> </v>
      </c>
      <c r="G37" s="4" t="str">
        <f>IF(A37&lt;('2. Inputs and results'!$B$21+1),G36*(1+'2. Inputs and results'!$B$44)," ")</f>
        <v xml:space="preserve"> </v>
      </c>
      <c r="H37" s="4" t="str">
        <f>IF(A37&lt;('2. Inputs and results'!$B$21+1),H36*(1+'2. Inputs and results'!$B$56)," ")</f>
        <v xml:space="preserve"> </v>
      </c>
      <c r="I37" s="4" t="str">
        <f>IF(A37&lt;('2. Inputs and results'!$B$21+1),I36*(1+'2. Inputs and results'!$B$32)," ")</f>
        <v xml:space="preserve"> </v>
      </c>
      <c r="J37" s="4" t="str">
        <f>IF(A37&lt;('2. Inputs and results'!$B$21+1),J36*(1+'2. Inputs and results'!$B$66)," ")</f>
        <v xml:space="preserve"> </v>
      </c>
      <c r="K37" s="4" t="e">
        <f>IF('Solution 1, (hidden)'!A37&lt;('2. Inputs and results'!$B$21+1),K36+(G37+I37+H37+J37),NA())</f>
        <v>#N/A</v>
      </c>
      <c r="L37" s="4" t="e">
        <f>IF(A37&lt;('2. Inputs and results'!$B$21+1),L36,NA())</f>
        <v>#N/A</v>
      </c>
      <c r="M37" s="4" t="str">
        <f>IF(A37&lt;('2. Inputs and results'!$B$21+1),'2. Inputs and results'!$B$75*'2. Inputs and results'!$B$73," ")</f>
        <v xml:space="preserve"> </v>
      </c>
      <c r="N37" s="4" t="str">
        <f>IF(A37&lt;('2. Inputs and results'!$B$21+1),M37/((1+$P$2)^A37)," ")</f>
        <v xml:space="preserve"> </v>
      </c>
      <c r="O37" s="4" t="str">
        <f>IF(A37&lt;('2. Inputs and results'!$B$21+1),'2. Inputs and results'!$B$73*'2. Inputs and results'!$B$75+O36," ")</f>
        <v xml:space="preserve"> </v>
      </c>
      <c r="P37" s="4" t="str">
        <f>IF(A37&lt;('2. Inputs and results'!$B$21+1),(G37+I37+H37+J37)/((1+$P$2)^A37)," ")</f>
        <v xml:space="preserve"> </v>
      </c>
      <c r="Q37" s="4" t="str">
        <f>IF(A37&lt;('2. Inputs and results'!$B$21+1),Q36+P37," ")</f>
        <v xml:space="preserve"> </v>
      </c>
      <c r="R37" s="4" t="e">
        <f>IF(A37&lt;('2. Inputs and results'!$B$21+1),R36+G37+I37+J37+H37+T37-$V$6,NA())</f>
        <v>#N/A</v>
      </c>
      <c r="S37" s="4" t="str">
        <f>IF(A37&lt;('2. Inputs and results'!$B$21+1),'2. Inputs and results'!$B$79*(R36)," ")</f>
        <v xml:space="preserve"> </v>
      </c>
      <c r="T37" s="4">
        <f t="shared" si="1"/>
        <v>0</v>
      </c>
      <c r="U37" s="4" t="e">
        <f>IF(A37&lt;('2. Inputs and results'!$B$21+1),U36+(T37+I37+G37+H37+J37-$V$6)/((1+$P$2)^A37),NA())</f>
        <v>#N/A</v>
      </c>
      <c r="V37" s="4" t="str">
        <f>IF(A37&lt;('2. Inputs and results'!$B$21+1),V36+('2. Inputs and results'!$B$75*'2. Inputs and results'!$B$73)," ")</f>
        <v xml:space="preserve"> </v>
      </c>
      <c r="W37" s="4" t="e">
        <f>IF(A37&lt;('2. Inputs and results'!$B$21+1),W36+C37+Y37-$V$6,NA())</f>
        <v>#N/A</v>
      </c>
      <c r="X37" s="4" t="str">
        <f>IF(A37&lt;('2. Inputs and results'!$B$21+1),'2. Inputs and results'!$B$79*W36," ")</f>
        <v xml:space="preserve"> </v>
      </c>
      <c r="Y37" s="4">
        <f t="shared" si="2"/>
        <v>0</v>
      </c>
      <c r="Z37" s="4" t="e">
        <f>IF(A37&lt;('2. Inputs and results'!$B$21+1),Z36+(C37-$V$6+Y37)/((1+$P$2)^A37),NA())</f>
        <v>#N/A</v>
      </c>
      <c r="AA37" s="4" t="str">
        <f>IF(A37&lt;('2. Inputs and results'!$B$21+1),AA36+(G37+I37+H37+T37-$V$6)," ")</f>
        <v xml:space="preserve"> </v>
      </c>
      <c r="AB37" s="20" t="e">
        <f>IF(A37&lt;('2. Inputs and results'!$B$21+1),AA37/L37,NA())</f>
        <v>#N/A</v>
      </c>
      <c r="AC37" s="29" t="str">
        <f>IF(A37&lt;('2. Inputs and results'!$B$21+1),AC36+(C37+Y37-$V$6)," ")</f>
        <v xml:space="preserve"> </v>
      </c>
      <c r="AD37" s="20" t="e">
        <f>IF(A37&lt;('2. Inputs and results'!$B$21+1),AC37/L37,NA())</f>
        <v>#N/A</v>
      </c>
      <c r="AE37" t="str">
        <f>IF(A37&lt;('2. Inputs and results'!$B$21+1),-'2. Inputs and results'!$B$121*A37," ")</f>
        <v xml:space="preserve"> </v>
      </c>
      <c r="AF37" t="e">
        <f>IF(A37&lt;('2. Inputs and results'!$B$21+1),AE37/1000,NA())</f>
        <v>#N/A</v>
      </c>
    </row>
    <row r="38" spans="1:32" x14ac:dyDescent="0.25">
      <c r="A38">
        <f t="shared" si="0"/>
        <v>33</v>
      </c>
      <c r="B38" t="str">
        <f>IF(A38&lt;('2. Inputs and results'!$B$21+1),A38," ")</f>
        <v xml:space="preserve"> </v>
      </c>
      <c r="C38" s="4" t="str">
        <f>IF(A38&lt;('2. Inputs and results'!$B$21+1),'2. Inputs and results'!$B$99+'2. Inputs and results'!$B$101," ")</f>
        <v xml:space="preserve"> </v>
      </c>
      <c r="D38" s="4" t="e">
        <f>IF(A38&lt;('2. Inputs and results'!$B$21+1),D37+C38,NA())</f>
        <v>#N/A</v>
      </c>
      <c r="E38" s="4" t="str">
        <f>IF(B38&lt;('2. Inputs and results'!$B$21+1),C38/((1+$P$2)^A38)," ")</f>
        <v xml:space="preserve"> </v>
      </c>
      <c r="F38" s="4" t="str">
        <f>IF(A38&lt;('2. Inputs and results'!$B$21+1),F37+E38," ")</f>
        <v xml:space="preserve"> </v>
      </c>
      <c r="G38" s="4" t="str">
        <f>IF(A38&lt;('2. Inputs and results'!$B$21+1),G37*(1+'2. Inputs and results'!$B$44)," ")</f>
        <v xml:space="preserve"> </v>
      </c>
      <c r="H38" s="4" t="str">
        <f>IF(A38&lt;('2. Inputs and results'!$B$21+1),H37*(1+'2. Inputs and results'!$B$56)," ")</f>
        <v xml:space="preserve"> </v>
      </c>
      <c r="I38" s="4" t="str">
        <f>IF(A38&lt;('2. Inputs and results'!$B$21+1),I37*(1+'2. Inputs and results'!$B$32)," ")</f>
        <v xml:space="preserve"> </v>
      </c>
      <c r="J38" s="4" t="str">
        <f>IF(A38&lt;('2. Inputs and results'!$B$21+1),J37*(1+'2. Inputs and results'!$B$66)," ")</f>
        <v xml:space="preserve"> </v>
      </c>
      <c r="K38" s="4" t="e">
        <f>IF('Solution 1, (hidden)'!A38&lt;('2. Inputs and results'!$B$21+1),K37+(G38+I38+H38+J38),NA())</f>
        <v>#N/A</v>
      </c>
      <c r="L38" s="4" t="e">
        <f>IF(A38&lt;('2. Inputs and results'!$B$21+1),L37,NA())</f>
        <v>#N/A</v>
      </c>
      <c r="M38" s="4" t="str">
        <f>IF(A38&lt;('2. Inputs and results'!$B$21+1),'2. Inputs and results'!$B$75*'2. Inputs and results'!$B$73," ")</f>
        <v xml:space="preserve"> </v>
      </c>
      <c r="N38" s="4" t="str">
        <f>IF(A38&lt;('2. Inputs and results'!$B$21+1),M38/((1+$P$2)^A38)," ")</f>
        <v xml:space="preserve"> </v>
      </c>
      <c r="O38" s="4" t="str">
        <f>IF(A38&lt;('2. Inputs and results'!$B$21+1),'2. Inputs and results'!$B$73*'2. Inputs and results'!$B$75+O37," ")</f>
        <v xml:space="preserve"> </v>
      </c>
      <c r="P38" s="4" t="str">
        <f>IF(A38&lt;('2. Inputs and results'!$B$21+1),(G38+I38+H38+J38)/((1+$P$2)^A38)," ")</f>
        <v xml:space="preserve"> </v>
      </c>
      <c r="Q38" s="4" t="str">
        <f>IF(A38&lt;('2. Inputs and results'!$B$21+1),Q37+P38," ")</f>
        <v xml:space="preserve"> </v>
      </c>
      <c r="R38" s="4" t="e">
        <f>IF(A38&lt;('2. Inputs and results'!$B$21+1),R37+G38+I38+J38+H38+T38-$V$6,NA())</f>
        <v>#N/A</v>
      </c>
      <c r="S38" s="4" t="str">
        <f>IF(A38&lt;('2. Inputs and results'!$B$21+1),'2. Inputs and results'!$B$79*(R37)," ")</f>
        <v xml:space="preserve"> </v>
      </c>
      <c r="T38" s="4">
        <f t="shared" si="1"/>
        <v>0</v>
      </c>
      <c r="U38" s="4" t="e">
        <f>IF(A38&lt;('2. Inputs and results'!$B$21+1),U37+(T38+I38+G38+H38+J38-$V$6)/((1+$P$2)^A38),NA())</f>
        <v>#N/A</v>
      </c>
      <c r="V38" s="4" t="str">
        <f>IF(A38&lt;('2. Inputs and results'!$B$21+1),V37+('2. Inputs and results'!$B$75*'2. Inputs and results'!$B$73)," ")</f>
        <v xml:space="preserve"> </v>
      </c>
      <c r="W38" s="4" t="e">
        <f>IF(A38&lt;('2. Inputs and results'!$B$21+1),W37+C38+Y38-$V$6,NA())</f>
        <v>#N/A</v>
      </c>
      <c r="X38" s="4" t="str">
        <f>IF(A38&lt;('2. Inputs and results'!$B$21+1),'2. Inputs and results'!$B$79*W37," ")</f>
        <v xml:space="preserve"> </v>
      </c>
      <c r="Y38" s="4">
        <f t="shared" si="2"/>
        <v>0</v>
      </c>
      <c r="Z38" s="4" t="e">
        <f>IF(A38&lt;('2. Inputs and results'!$B$21+1),Z37+(C38-$V$6+Y38)/((1+$P$2)^A38),NA())</f>
        <v>#N/A</v>
      </c>
      <c r="AA38" s="4" t="str">
        <f>IF(A38&lt;('2. Inputs and results'!$B$21+1),AA37+(G38+I38+H38+T38-$V$6)," ")</f>
        <v xml:space="preserve"> </v>
      </c>
      <c r="AB38" s="20" t="e">
        <f>IF(A38&lt;('2. Inputs and results'!$B$21+1),AA38/L38,NA())</f>
        <v>#N/A</v>
      </c>
      <c r="AC38" s="29" t="str">
        <f>IF(A38&lt;('2. Inputs and results'!$B$21+1),AC37+(C38+Y38-$V$6)," ")</f>
        <v xml:space="preserve"> </v>
      </c>
      <c r="AD38" s="20" t="e">
        <f>IF(A38&lt;('2. Inputs and results'!$B$21+1),AC38/L38,NA())</f>
        <v>#N/A</v>
      </c>
      <c r="AE38" t="str">
        <f>IF(A38&lt;('2. Inputs and results'!$B$21+1),-'2. Inputs and results'!$B$121*A38," ")</f>
        <v xml:space="preserve"> </v>
      </c>
      <c r="AF38" t="e">
        <f>IF(A38&lt;('2. Inputs and results'!$B$21+1),AE38/1000,NA())</f>
        <v>#N/A</v>
      </c>
    </row>
    <row r="39" spans="1:32" x14ac:dyDescent="0.25">
      <c r="A39">
        <f t="shared" si="0"/>
        <v>34</v>
      </c>
      <c r="B39" t="str">
        <f>IF(A39&lt;('2. Inputs and results'!$B$21+1),A39," ")</f>
        <v xml:space="preserve"> </v>
      </c>
      <c r="C39" s="4" t="str">
        <f>IF(A39&lt;('2. Inputs and results'!$B$21+1),'2. Inputs and results'!$B$99+'2. Inputs and results'!$B$101," ")</f>
        <v xml:space="preserve"> </v>
      </c>
      <c r="D39" s="4" t="e">
        <f>IF(A39&lt;('2. Inputs and results'!$B$21+1),D38+C39,NA())</f>
        <v>#N/A</v>
      </c>
      <c r="E39" s="4" t="str">
        <f>IF(B39&lt;('2. Inputs and results'!$B$21+1),C39/((1+$P$2)^A39)," ")</f>
        <v xml:space="preserve"> </v>
      </c>
      <c r="F39" s="4" t="str">
        <f>IF(A39&lt;('2. Inputs and results'!$B$21+1),F38+E39," ")</f>
        <v xml:space="preserve"> </v>
      </c>
      <c r="G39" s="4" t="str">
        <f>IF(A39&lt;('2. Inputs and results'!$B$21+1),G38*(1+'2. Inputs and results'!$B$44)," ")</f>
        <v xml:space="preserve"> </v>
      </c>
      <c r="H39" s="4" t="str">
        <f>IF(A39&lt;('2. Inputs and results'!$B$21+1),H38*(1+'2. Inputs and results'!$B$56)," ")</f>
        <v xml:space="preserve"> </v>
      </c>
      <c r="I39" s="4" t="str">
        <f>IF(A39&lt;('2. Inputs and results'!$B$21+1),I38*(1+'2. Inputs and results'!$B$32)," ")</f>
        <v xml:space="preserve"> </v>
      </c>
      <c r="J39" s="4" t="str">
        <f>IF(A39&lt;('2. Inputs and results'!$B$21+1),J38*(1+'2. Inputs and results'!$B$66)," ")</f>
        <v xml:space="preserve"> </v>
      </c>
      <c r="K39" s="4" t="e">
        <f>IF('Solution 1, (hidden)'!A39&lt;('2. Inputs and results'!$B$21+1),K38+(G39+I39+H39+J39),NA())</f>
        <v>#N/A</v>
      </c>
      <c r="L39" s="4" t="e">
        <f>IF(A39&lt;('2. Inputs and results'!$B$21+1),L38,NA())</f>
        <v>#N/A</v>
      </c>
      <c r="M39" s="4" t="str">
        <f>IF(A39&lt;('2. Inputs and results'!$B$21+1),'2. Inputs and results'!$B$75*'2. Inputs and results'!$B$73," ")</f>
        <v xml:space="preserve"> </v>
      </c>
      <c r="N39" s="4" t="str">
        <f>IF(A39&lt;('2. Inputs and results'!$B$21+1),M39/((1+$P$2)^A39)," ")</f>
        <v xml:space="preserve"> </v>
      </c>
      <c r="O39" s="4" t="str">
        <f>IF(A39&lt;('2. Inputs and results'!$B$21+1),'2. Inputs and results'!$B$73*'2. Inputs and results'!$B$75+O38," ")</f>
        <v xml:space="preserve"> </v>
      </c>
      <c r="P39" s="4" t="str">
        <f>IF(A39&lt;('2. Inputs and results'!$B$21+1),(G39+I39+H39+J39)/((1+$P$2)^A39)," ")</f>
        <v xml:space="preserve"> </v>
      </c>
      <c r="Q39" s="4" t="str">
        <f>IF(A39&lt;('2. Inputs and results'!$B$21+1),Q38+P39," ")</f>
        <v xml:space="preserve"> </v>
      </c>
      <c r="R39" s="4" t="e">
        <f>IF(A39&lt;('2. Inputs and results'!$B$21+1),R38+G39+I39+J39+H39+T39-$V$6,NA())</f>
        <v>#N/A</v>
      </c>
      <c r="S39" s="4" t="str">
        <f>IF(A39&lt;('2. Inputs and results'!$B$21+1),'2. Inputs and results'!$B$79*(R38)," ")</f>
        <v xml:space="preserve"> </v>
      </c>
      <c r="T39" s="4">
        <f t="shared" si="1"/>
        <v>0</v>
      </c>
      <c r="U39" s="4" t="e">
        <f>IF(A39&lt;('2. Inputs and results'!$B$21+1),U38+(T39+I39+G39+H39+J39-$V$6)/((1+$P$2)^A39),NA())</f>
        <v>#N/A</v>
      </c>
      <c r="V39" s="4" t="str">
        <f>IF(A39&lt;('2. Inputs and results'!$B$21+1),V38+('2. Inputs and results'!$B$75*'2. Inputs and results'!$B$73)," ")</f>
        <v xml:space="preserve"> </v>
      </c>
      <c r="W39" s="4" t="e">
        <f>IF(A39&lt;('2. Inputs and results'!$B$21+1),W38+C39+Y39-$V$6,NA())</f>
        <v>#N/A</v>
      </c>
      <c r="X39" s="4" t="str">
        <f>IF(A39&lt;('2. Inputs and results'!$B$21+1),'2. Inputs and results'!$B$79*W38," ")</f>
        <v xml:space="preserve"> </v>
      </c>
      <c r="Y39" s="4">
        <f t="shared" si="2"/>
        <v>0</v>
      </c>
      <c r="Z39" s="4" t="e">
        <f>IF(A39&lt;('2. Inputs and results'!$B$21+1),Z38+(C39-$V$6+Y39)/((1+$P$2)^A39),NA())</f>
        <v>#N/A</v>
      </c>
      <c r="AA39" s="4" t="str">
        <f>IF(A39&lt;('2. Inputs and results'!$B$21+1),AA38+(G39+I39+H39+T39-$V$6)," ")</f>
        <v xml:space="preserve"> </v>
      </c>
      <c r="AB39" s="20" t="e">
        <f>IF(A39&lt;('2. Inputs and results'!$B$21+1),AA39/L39,NA())</f>
        <v>#N/A</v>
      </c>
      <c r="AC39" s="29" t="str">
        <f>IF(A39&lt;('2. Inputs and results'!$B$21+1),AC38+(C39+Y39-$V$6)," ")</f>
        <v xml:space="preserve"> </v>
      </c>
      <c r="AD39" s="20" t="e">
        <f>IF(A39&lt;('2. Inputs and results'!$B$21+1),AC39/L39,NA())</f>
        <v>#N/A</v>
      </c>
      <c r="AE39" t="str">
        <f>IF(A39&lt;('2. Inputs and results'!$B$21+1),-'2. Inputs and results'!$B$121*A39," ")</f>
        <v xml:space="preserve"> </v>
      </c>
      <c r="AF39" t="e">
        <f>IF(A39&lt;('2. Inputs and results'!$B$21+1),AE39/1000,NA())</f>
        <v>#N/A</v>
      </c>
    </row>
    <row r="40" spans="1:32" x14ac:dyDescent="0.25">
      <c r="A40">
        <f t="shared" si="0"/>
        <v>35</v>
      </c>
      <c r="B40" t="str">
        <f>IF(A40&lt;('2. Inputs and results'!$B$21+1),A40," ")</f>
        <v xml:space="preserve"> </v>
      </c>
      <c r="C40" s="4" t="str">
        <f>IF(A40&lt;('2. Inputs and results'!$B$21+1),'2. Inputs and results'!$B$99+'2. Inputs and results'!$B$101," ")</f>
        <v xml:space="preserve"> </v>
      </c>
      <c r="D40" s="4" t="e">
        <f>IF(A40&lt;('2. Inputs and results'!$B$21+1),D39+C40,NA())</f>
        <v>#N/A</v>
      </c>
      <c r="E40" s="4" t="str">
        <f>IF(B40&lt;('2. Inputs and results'!$B$21+1),C40/((1+$P$2)^A40)," ")</f>
        <v xml:space="preserve"> </v>
      </c>
      <c r="F40" s="4" t="str">
        <f>IF(A40&lt;('2. Inputs and results'!$B$21+1),F39+E40," ")</f>
        <v xml:space="preserve"> </v>
      </c>
      <c r="G40" s="4" t="str">
        <f>IF(A40&lt;('2. Inputs and results'!$B$21+1),G39*(1+'2. Inputs and results'!$B$44)," ")</f>
        <v xml:space="preserve"> </v>
      </c>
      <c r="H40" s="4" t="str">
        <f>IF(A40&lt;('2. Inputs and results'!$B$21+1),H39*(1+'2. Inputs and results'!$B$56)," ")</f>
        <v xml:space="preserve"> </v>
      </c>
      <c r="I40" s="4" t="str">
        <f>IF(A40&lt;('2. Inputs and results'!$B$21+1),I39*(1+'2. Inputs and results'!$B$32)," ")</f>
        <v xml:space="preserve"> </v>
      </c>
      <c r="J40" s="4" t="str">
        <f>IF(A40&lt;('2. Inputs and results'!$B$21+1),J39*(1+'2. Inputs and results'!$B$66)," ")</f>
        <v xml:space="preserve"> </v>
      </c>
      <c r="K40" s="4" t="e">
        <f>IF('Solution 1, (hidden)'!A40&lt;('2. Inputs and results'!$B$21+1),K39+(G40+I40+H40+J40),NA())</f>
        <v>#N/A</v>
      </c>
      <c r="L40" s="4" t="e">
        <f>IF(A40&lt;('2. Inputs and results'!$B$21+1),L39,NA())</f>
        <v>#N/A</v>
      </c>
      <c r="M40" s="4" t="str">
        <f>IF(A40&lt;('2. Inputs and results'!$B$21+1),'2. Inputs and results'!$B$75*'2. Inputs and results'!$B$73," ")</f>
        <v xml:space="preserve"> </v>
      </c>
      <c r="N40" s="4" t="str">
        <f>IF(A40&lt;('2. Inputs and results'!$B$21+1),M40/((1+$P$2)^A40)," ")</f>
        <v xml:space="preserve"> </v>
      </c>
      <c r="O40" s="4" t="str">
        <f>IF(A40&lt;('2. Inputs and results'!$B$21+1),'2. Inputs and results'!$B$73*'2. Inputs and results'!$B$75+O39," ")</f>
        <v xml:space="preserve"> </v>
      </c>
      <c r="P40" s="4" t="str">
        <f>IF(A40&lt;('2. Inputs and results'!$B$21+1),(G40+I40+H40+J40)/((1+$P$2)^A40)," ")</f>
        <v xml:space="preserve"> </v>
      </c>
      <c r="Q40" s="4" t="str">
        <f>IF(A40&lt;('2. Inputs and results'!$B$21+1),Q39+P40," ")</f>
        <v xml:space="preserve"> </v>
      </c>
      <c r="R40" s="4" t="e">
        <f>IF(A40&lt;('2. Inputs and results'!$B$21+1),R39+G40+I40+J40+H40+T40-$V$6,NA())</f>
        <v>#N/A</v>
      </c>
      <c r="S40" s="4" t="str">
        <f>IF(A40&lt;('2. Inputs and results'!$B$21+1),'2. Inputs and results'!$B$79*(R39)," ")</f>
        <v xml:space="preserve"> </v>
      </c>
      <c r="T40" s="4">
        <f t="shared" si="1"/>
        <v>0</v>
      </c>
      <c r="U40" s="4" t="e">
        <f>IF(A40&lt;('2. Inputs and results'!$B$21+1),U39+(T40+I40+G40+H40+J40-$V$6)/((1+$P$2)^A40),NA())</f>
        <v>#N/A</v>
      </c>
      <c r="V40" s="4" t="str">
        <f>IF(A40&lt;('2. Inputs and results'!$B$21+1),V39+('2. Inputs and results'!$B$75*'2. Inputs and results'!$B$73)," ")</f>
        <v xml:space="preserve"> </v>
      </c>
      <c r="W40" s="4" t="e">
        <f>IF(A40&lt;('2. Inputs and results'!$B$21+1),W39+C40+Y40-$V$6,NA())</f>
        <v>#N/A</v>
      </c>
      <c r="X40" s="4" t="str">
        <f>IF(A40&lt;('2. Inputs and results'!$B$21+1),'2. Inputs and results'!$B$79*W39," ")</f>
        <v xml:space="preserve"> </v>
      </c>
      <c r="Y40" s="4">
        <f t="shared" si="2"/>
        <v>0</v>
      </c>
      <c r="Z40" s="4" t="e">
        <f>IF(A40&lt;('2. Inputs and results'!$B$21+1),Z39+(C40-$V$6+Y40)/((1+$P$2)^A40),NA())</f>
        <v>#N/A</v>
      </c>
      <c r="AA40" s="4" t="str">
        <f>IF(A40&lt;('2. Inputs and results'!$B$21+1),AA39+(G40+I40+H40+T40-$V$6)," ")</f>
        <v xml:space="preserve"> </v>
      </c>
      <c r="AB40" s="20" t="e">
        <f>IF(A40&lt;('2. Inputs and results'!$B$21+1),AA40/L40,NA())</f>
        <v>#N/A</v>
      </c>
      <c r="AC40" s="29" t="str">
        <f>IF(A40&lt;('2. Inputs and results'!$B$21+1),AC39+(C40+Y40-$V$6)," ")</f>
        <v xml:space="preserve"> </v>
      </c>
      <c r="AD40" s="20" t="e">
        <f>IF(A40&lt;('2. Inputs and results'!$B$21+1),AC40/L40,NA())</f>
        <v>#N/A</v>
      </c>
      <c r="AE40" t="str">
        <f>IF(A40&lt;('2. Inputs and results'!$B$21+1),-'2. Inputs and results'!$B$121*A40," ")</f>
        <v xml:space="preserve"> </v>
      </c>
      <c r="AF40" t="e">
        <f>IF(A40&lt;('2. Inputs and results'!$B$21+1),AE40/1000,NA())</f>
        <v>#N/A</v>
      </c>
    </row>
    <row r="41" spans="1:32" x14ac:dyDescent="0.25">
      <c r="A41">
        <f t="shared" si="0"/>
        <v>36</v>
      </c>
      <c r="B41" t="str">
        <f>IF(A41&lt;('2. Inputs and results'!$B$21+1),A41," ")</f>
        <v xml:space="preserve"> </v>
      </c>
      <c r="C41" s="4" t="str">
        <f>IF(A41&lt;('2. Inputs and results'!$B$21+1),'2. Inputs and results'!$B$99+'2. Inputs and results'!$B$101," ")</f>
        <v xml:space="preserve"> </v>
      </c>
      <c r="D41" s="4" t="e">
        <f>IF(A41&lt;('2. Inputs and results'!$B$21+1),D40+C41,NA())</f>
        <v>#N/A</v>
      </c>
      <c r="E41" s="4" t="str">
        <f>IF(B41&lt;('2. Inputs and results'!$B$21+1),C41/((1+$P$2)^A41)," ")</f>
        <v xml:space="preserve"> </v>
      </c>
      <c r="F41" s="4" t="str">
        <f>IF(A41&lt;('2. Inputs and results'!$B$21+1),F40+E41," ")</f>
        <v xml:space="preserve"> </v>
      </c>
      <c r="G41" s="4" t="str">
        <f>IF(A41&lt;('2. Inputs and results'!$B$21+1),G40*(1+'2. Inputs and results'!$B$44)," ")</f>
        <v xml:space="preserve"> </v>
      </c>
      <c r="H41" s="4" t="str">
        <f>IF(A41&lt;('2. Inputs and results'!$B$21+1),H40*(1+'2. Inputs and results'!$B$56)," ")</f>
        <v xml:space="preserve"> </v>
      </c>
      <c r="I41" s="4" t="str">
        <f>IF(A41&lt;('2. Inputs and results'!$B$21+1),I40*(1+'2. Inputs and results'!$B$32)," ")</f>
        <v xml:space="preserve"> </v>
      </c>
      <c r="J41" s="4" t="str">
        <f>IF(A41&lt;('2. Inputs and results'!$B$21+1),J40*(1+'2. Inputs and results'!$B$66)," ")</f>
        <v xml:space="preserve"> </v>
      </c>
      <c r="K41" s="4" t="e">
        <f>IF('Solution 1, (hidden)'!A41&lt;('2. Inputs and results'!$B$21+1),K40+(G41+I41+H41+J41),NA())</f>
        <v>#N/A</v>
      </c>
      <c r="L41" s="4" t="e">
        <f>IF(A41&lt;('2. Inputs and results'!$B$21+1),L40,NA())</f>
        <v>#N/A</v>
      </c>
      <c r="M41" s="4" t="str">
        <f>IF(A41&lt;('2. Inputs and results'!$B$21+1),'2. Inputs and results'!$B$75*'2. Inputs and results'!$B$73," ")</f>
        <v xml:space="preserve"> </v>
      </c>
      <c r="N41" s="4" t="str">
        <f>IF(A41&lt;('2. Inputs and results'!$B$21+1),M41/((1+$P$2)^A41)," ")</f>
        <v xml:space="preserve"> </v>
      </c>
      <c r="O41" s="4" t="str">
        <f>IF(A41&lt;('2. Inputs and results'!$B$21+1),'2. Inputs and results'!$B$73*'2. Inputs and results'!$B$75+O40," ")</f>
        <v xml:space="preserve"> </v>
      </c>
      <c r="P41" s="4" t="str">
        <f>IF(A41&lt;('2. Inputs and results'!$B$21+1),(G41+I41+H41+J41)/((1+$P$2)^A41)," ")</f>
        <v xml:space="preserve"> </v>
      </c>
      <c r="Q41" s="4" t="str">
        <f>IF(A41&lt;('2. Inputs and results'!$B$21+1),Q40+P41," ")</f>
        <v xml:space="preserve"> </v>
      </c>
      <c r="R41" s="4" t="e">
        <f>IF(A41&lt;('2. Inputs and results'!$B$21+1),R40+G41+I41+J41+H41+T41-$V$6,NA())</f>
        <v>#N/A</v>
      </c>
      <c r="S41" s="4" t="str">
        <f>IF(A41&lt;('2. Inputs and results'!$B$21+1),'2. Inputs and results'!$B$79*(R40)," ")</f>
        <v xml:space="preserve"> </v>
      </c>
      <c r="T41" s="4">
        <f t="shared" si="1"/>
        <v>0</v>
      </c>
      <c r="U41" s="4" t="e">
        <f>IF(A41&lt;('2. Inputs and results'!$B$21+1),U40+(T41+I41+G41+H41+J41-$V$6)/((1+$P$2)^A41),NA())</f>
        <v>#N/A</v>
      </c>
      <c r="V41" s="4" t="str">
        <f>IF(A41&lt;('2. Inputs and results'!$B$21+1),V40+('2. Inputs and results'!$B$75*'2. Inputs and results'!$B$73)," ")</f>
        <v xml:space="preserve"> </v>
      </c>
      <c r="W41" s="4" t="e">
        <f>IF(A41&lt;('2. Inputs and results'!$B$21+1),W40+C41+Y41-$V$6,NA())</f>
        <v>#N/A</v>
      </c>
      <c r="X41" s="4" t="str">
        <f>IF(A41&lt;('2. Inputs and results'!$B$21+1),'2. Inputs and results'!$B$79*W40," ")</f>
        <v xml:space="preserve"> </v>
      </c>
      <c r="Y41" s="4">
        <f t="shared" si="2"/>
        <v>0</v>
      </c>
      <c r="Z41" s="4" t="e">
        <f>IF(A41&lt;('2. Inputs and results'!$B$21+1),Z40+(C41-$V$6+Y41)/((1+$P$2)^A41),NA())</f>
        <v>#N/A</v>
      </c>
      <c r="AA41" s="4" t="str">
        <f>IF(A41&lt;('2. Inputs and results'!$B$21+1),AA40+(G41+I41+H41+T41-$V$6)," ")</f>
        <v xml:space="preserve"> </v>
      </c>
      <c r="AB41" s="20" t="e">
        <f>IF(A41&lt;('2. Inputs and results'!$B$21+1),AA41/L41,NA())</f>
        <v>#N/A</v>
      </c>
      <c r="AC41" s="29" t="str">
        <f>IF(A41&lt;('2. Inputs and results'!$B$21+1),AC40+(C41+Y41-$V$6)," ")</f>
        <v xml:space="preserve"> </v>
      </c>
      <c r="AD41" s="20" t="e">
        <f>IF(A41&lt;('2. Inputs and results'!$B$21+1),AC41/L41,NA())</f>
        <v>#N/A</v>
      </c>
      <c r="AE41" t="str">
        <f>IF(A41&lt;('2. Inputs and results'!$B$21+1),-'2. Inputs and results'!$B$121*A41," ")</f>
        <v xml:space="preserve"> </v>
      </c>
      <c r="AF41" t="e">
        <f>IF(A41&lt;('2. Inputs and results'!$B$21+1),AE41/1000,NA())</f>
        <v>#N/A</v>
      </c>
    </row>
    <row r="42" spans="1:32" x14ac:dyDescent="0.25">
      <c r="A42">
        <f t="shared" si="0"/>
        <v>37</v>
      </c>
      <c r="B42" t="str">
        <f>IF(A42&lt;('2. Inputs and results'!$B$21+1),A42," ")</f>
        <v xml:space="preserve"> </v>
      </c>
      <c r="C42" s="4" t="str">
        <f>IF(A42&lt;('2. Inputs and results'!$B$21+1),'2. Inputs and results'!$B$99+'2. Inputs and results'!$B$101," ")</f>
        <v xml:space="preserve"> </v>
      </c>
      <c r="D42" s="4" t="e">
        <f>IF(A42&lt;('2. Inputs and results'!$B$21+1),D41+C42,NA())</f>
        <v>#N/A</v>
      </c>
      <c r="E42" s="4" t="str">
        <f>IF(B42&lt;('2. Inputs and results'!$B$21+1),C42/((1+$P$2)^A42)," ")</f>
        <v xml:space="preserve"> </v>
      </c>
      <c r="F42" s="4" t="str">
        <f>IF(A42&lt;('2. Inputs and results'!$B$21+1),F41+E42," ")</f>
        <v xml:space="preserve"> </v>
      </c>
      <c r="G42" s="4" t="str">
        <f>IF(A42&lt;('2. Inputs and results'!$B$21+1),G41*(1+'2. Inputs and results'!$B$44)," ")</f>
        <v xml:space="preserve"> </v>
      </c>
      <c r="H42" s="4" t="str">
        <f>IF(A42&lt;('2. Inputs and results'!$B$21+1),H41*(1+'2. Inputs and results'!$B$56)," ")</f>
        <v xml:space="preserve"> </v>
      </c>
      <c r="I42" s="4" t="str">
        <f>IF(A42&lt;('2. Inputs and results'!$B$21+1),I41*(1+'2. Inputs and results'!$B$32)," ")</f>
        <v xml:space="preserve"> </v>
      </c>
      <c r="J42" s="4" t="str">
        <f>IF(A42&lt;('2. Inputs and results'!$B$21+1),J41*(1+'2. Inputs and results'!$B$66)," ")</f>
        <v xml:space="preserve"> </v>
      </c>
      <c r="K42" s="4" t="e">
        <f>IF('Solution 1, (hidden)'!A42&lt;('2. Inputs and results'!$B$21+1),K41+(G42+I42+H42+J42),NA())</f>
        <v>#N/A</v>
      </c>
      <c r="L42" s="4" t="e">
        <f>IF(A42&lt;('2. Inputs and results'!$B$21+1),L41,NA())</f>
        <v>#N/A</v>
      </c>
      <c r="M42" s="4" t="str">
        <f>IF(A42&lt;('2. Inputs and results'!$B$21+1),'2. Inputs and results'!$B$75*'2. Inputs and results'!$B$73," ")</f>
        <v xml:space="preserve"> </v>
      </c>
      <c r="N42" s="4" t="str">
        <f>IF(A42&lt;('2. Inputs and results'!$B$21+1),M42/((1+$P$2)^A42)," ")</f>
        <v xml:space="preserve"> </v>
      </c>
      <c r="O42" s="4" t="str">
        <f>IF(A42&lt;('2. Inputs and results'!$B$21+1),'2. Inputs and results'!$B$73*'2. Inputs and results'!$B$75+O41," ")</f>
        <v xml:space="preserve"> </v>
      </c>
      <c r="P42" s="4" t="str">
        <f>IF(A42&lt;('2. Inputs and results'!$B$21+1),(G42+I42+H42+J42)/((1+$P$2)^A42)," ")</f>
        <v xml:space="preserve"> </v>
      </c>
      <c r="Q42" s="4" t="str">
        <f>IF(A42&lt;('2. Inputs and results'!$B$21+1),Q41+P42," ")</f>
        <v xml:space="preserve"> </v>
      </c>
      <c r="R42" s="4" t="e">
        <f>IF(A42&lt;('2. Inputs and results'!$B$21+1),R41+G42+I42+J42+H42+T42-$V$6,NA())</f>
        <v>#N/A</v>
      </c>
      <c r="S42" s="4" t="str">
        <f>IF(A42&lt;('2. Inputs and results'!$B$21+1),'2. Inputs and results'!$B$79*(R41)," ")</f>
        <v xml:space="preserve"> </v>
      </c>
      <c r="T42" s="4">
        <f t="shared" si="1"/>
        <v>0</v>
      </c>
      <c r="U42" s="4" t="e">
        <f>IF(A42&lt;('2. Inputs and results'!$B$21+1),U41+(T42+I42+G42+H42+J42-$V$6)/((1+$P$2)^A42),NA())</f>
        <v>#N/A</v>
      </c>
      <c r="V42" s="4" t="str">
        <f>IF(A42&lt;('2. Inputs and results'!$B$21+1),V41+('2. Inputs and results'!$B$75*'2. Inputs and results'!$B$73)," ")</f>
        <v xml:space="preserve"> </v>
      </c>
      <c r="W42" s="4" t="e">
        <f>IF(A42&lt;('2. Inputs and results'!$B$21+1),W41+C42+Y42-$V$6,NA())</f>
        <v>#N/A</v>
      </c>
      <c r="X42" s="4" t="str">
        <f>IF(A42&lt;('2. Inputs and results'!$B$21+1),'2. Inputs and results'!$B$79*W41," ")</f>
        <v xml:space="preserve"> </v>
      </c>
      <c r="Y42" s="4">
        <f t="shared" si="2"/>
        <v>0</v>
      </c>
      <c r="Z42" s="4" t="e">
        <f>IF(A42&lt;('2. Inputs and results'!$B$21+1),Z41+(C42-$V$6+Y42)/((1+$P$2)^A42),NA())</f>
        <v>#N/A</v>
      </c>
      <c r="AA42" s="4" t="str">
        <f>IF(A42&lt;('2. Inputs and results'!$B$21+1),AA41+(G42+I42+H42+T42-$V$6)," ")</f>
        <v xml:space="preserve"> </v>
      </c>
      <c r="AB42" s="20" t="e">
        <f>IF(A42&lt;('2. Inputs and results'!$B$21+1),AA42/L42,NA())</f>
        <v>#N/A</v>
      </c>
      <c r="AC42" s="29" t="str">
        <f>IF(A42&lt;('2. Inputs and results'!$B$21+1),AC41+(C42+Y42-$V$6)," ")</f>
        <v xml:space="preserve"> </v>
      </c>
      <c r="AD42" s="20" t="e">
        <f>IF(A42&lt;('2. Inputs and results'!$B$21+1),AC42/L42,NA())</f>
        <v>#N/A</v>
      </c>
      <c r="AE42" t="str">
        <f>IF(A42&lt;('2. Inputs and results'!$B$21+1),-'2. Inputs and results'!$B$121*A42," ")</f>
        <v xml:space="preserve"> </v>
      </c>
      <c r="AF42" t="e">
        <f>IF(A42&lt;('2. Inputs and results'!$B$21+1),AE42/1000,NA())</f>
        <v>#N/A</v>
      </c>
    </row>
    <row r="43" spans="1:32" x14ac:dyDescent="0.25">
      <c r="A43">
        <f t="shared" si="0"/>
        <v>38</v>
      </c>
      <c r="B43" t="str">
        <f>IF(A43&lt;('2. Inputs and results'!$B$21+1),A43," ")</f>
        <v xml:space="preserve"> </v>
      </c>
      <c r="C43" s="4" t="str">
        <f>IF(A43&lt;('2. Inputs and results'!$B$21+1),'2. Inputs and results'!$B$99+'2. Inputs and results'!$B$101," ")</f>
        <v xml:space="preserve"> </v>
      </c>
      <c r="D43" s="4" t="e">
        <f>IF(A43&lt;('2. Inputs and results'!$B$21+1),D42+C43,NA())</f>
        <v>#N/A</v>
      </c>
      <c r="E43" s="4" t="str">
        <f>IF(B43&lt;('2. Inputs and results'!$B$21+1),C43/((1+$P$2)^A43)," ")</f>
        <v xml:space="preserve"> </v>
      </c>
      <c r="F43" s="4" t="str">
        <f>IF(A43&lt;('2. Inputs and results'!$B$21+1),F42+E43," ")</f>
        <v xml:space="preserve"> </v>
      </c>
      <c r="G43" s="4" t="str">
        <f>IF(A43&lt;('2. Inputs and results'!$B$21+1),G42*(1+'2. Inputs and results'!$B$44)," ")</f>
        <v xml:space="preserve"> </v>
      </c>
      <c r="H43" s="4" t="str">
        <f>IF(A43&lt;('2. Inputs and results'!$B$21+1),H42*(1+'2. Inputs and results'!$B$56)," ")</f>
        <v xml:space="preserve"> </v>
      </c>
      <c r="I43" s="4" t="str">
        <f>IF(A43&lt;('2. Inputs and results'!$B$21+1),I42*(1+'2. Inputs and results'!$B$32)," ")</f>
        <v xml:space="preserve"> </v>
      </c>
      <c r="J43" s="4" t="str">
        <f>IF(A43&lt;('2. Inputs and results'!$B$21+1),J42*(1+'2. Inputs and results'!$B$66)," ")</f>
        <v xml:space="preserve"> </v>
      </c>
      <c r="K43" s="4" t="e">
        <f>IF('Solution 1, (hidden)'!A43&lt;('2. Inputs and results'!$B$21+1),K42+(G43+I43+H43+J43),NA())</f>
        <v>#N/A</v>
      </c>
      <c r="L43" s="4" t="e">
        <f>IF(A43&lt;('2. Inputs and results'!$B$21+1),L42,NA())</f>
        <v>#N/A</v>
      </c>
      <c r="M43" s="4" t="str">
        <f>IF(A43&lt;('2. Inputs and results'!$B$21+1),'2. Inputs and results'!$B$75*'2. Inputs and results'!$B$73," ")</f>
        <v xml:space="preserve"> </v>
      </c>
      <c r="N43" s="4" t="str">
        <f>IF(A43&lt;('2. Inputs and results'!$B$21+1),M43/((1+$P$2)^A43)," ")</f>
        <v xml:space="preserve"> </v>
      </c>
      <c r="O43" s="4" t="str">
        <f>IF(A43&lt;('2. Inputs and results'!$B$21+1),'2. Inputs and results'!$B$73*'2. Inputs and results'!$B$75+O42," ")</f>
        <v xml:space="preserve"> </v>
      </c>
      <c r="P43" s="4" t="str">
        <f>IF(A43&lt;('2. Inputs and results'!$B$21+1),(G43+I43+H43+J43)/((1+$P$2)^A43)," ")</f>
        <v xml:space="preserve"> </v>
      </c>
      <c r="Q43" s="4" t="str">
        <f>IF(A43&lt;('2. Inputs and results'!$B$21+1),Q42+P43," ")</f>
        <v xml:space="preserve"> </v>
      </c>
      <c r="R43" s="4" t="e">
        <f>IF(A43&lt;('2. Inputs and results'!$B$21+1),R42+G43+I43+J43+H43+T43-$V$6,NA())</f>
        <v>#N/A</v>
      </c>
      <c r="S43" s="4" t="str">
        <f>IF(A43&lt;('2. Inputs and results'!$B$21+1),'2. Inputs and results'!$B$79*(R42)," ")</f>
        <v xml:space="preserve"> </v>
      </c>
      <c r="T43" s="4">
        <f t="shared" si="1"/>
        <v>0</v>
      </c>
      <c r="U43" s="4" t="e">
        <f>IF(A43&lt;('2. Inputs and results'!$B$21+1),U42+(T43+I43+G43+H43+J43-$V$6)/((1+$P$2)^A43),NA())</f>
        <v>#N/A</v>
      </c>
      <c r="V43" s="4" t="str">
        <f>IF(A43&lt;('2. Inputs and results'!$B$21+1),V42+('2. Inputs and results'!$B$75*'2. Inputs and results'!$B$73)," ")</f>
        <v xml:space="preserve"> </v>
      </c>
      <c r="W43" s="4" t="e">
        <f>IF(A43&lt;('2. Inputs and results'!$B$21+1),W42+C43+Y43-$V$6,NA())</f>
        <v>#N/A</v>
      </c>
      <c r="X43" s="4" t="str">
        <f>IF(A43&lt;('2. Inputs and results'!$B$21+1),'2. Inputs and results'!$B$79*W42," ")</f>
        <v xml:space="preserve"> </v>
      </c>
      <c r="Y43" s="4">
        <f t="shared" si="2"/>
        <v>0</v>
      </c>
      <c r="Z43" s="4" t="e">
        <f>IF(A43&lt;('2. Inputs and results'!$B$21+1),Z42+(C43-$V$6+Y43)/((1+$P$2)^A43),NA())</f>
        <v>#N/A</v>
      </c>
      <c r="AA43" s="4" t="str">
        <f>IF(A43&lt;('2. Inputs and results'!$B$21+1),AA42+(G43+I43+H43+T43-$V$6)," ")</f>
        <v xml:space="preserve"> </v>
      </c>
      <c r="AB43" s="20" t="e">
        <f>IF(A43&lt;('2. Inputs and results'!$B$21+1),AA43/L43,NA())</f>
        <v>#N/A</v>
      </c>
      <c r="AC43" s="29" t="str">
        <f>IF(A43&lt;('2. Inputs and results'!$B$21+1),AC42+(C43+Y43-$V$6)," ")</f>
        <v xml:space="preserve"> </v>
      </c>
      <c r="AD43" s="20" t="e">
        <f>IF(A43&lt;('2. Inputs and results'!$B$21+1),AC43/L43,NA())</f>
        <v>#N/A</v>
      </c>
      <c r="AE43" t="str">
        <f>IF(A43&lt;('2. Inputs and results'!$B$21+1),-'2. Inputs and results'!$B$121*A43," ")</f>
        <v xml:space="preserve"> </v>
      </c>
      <c r="AF43" t="e">
        <f>IF(A43&lt;('2. Inputs and results'!$B$21+1),AE43/1000,NA())</f>
        <v>#N/A</v>
      </c>
    </row>
    <row r="44" spans="1:32" x14ac:dyDescent="0.25">
      <c r="A44">
        <f t="shared" si="0"/>
        <v>39</v>
      </c>
      <c r="B44" t="str">
        <f>IF(A44&lt;('2. Inputs and results'!$B$21+1),A44," ")</f>
        <v xml:space="preserve"> </v>
      </c>
      <c r="C44" s="4" t="str">
        <f>IF(A44&lt;('2. Inputs and results'!$B$21+1),'2. Inputs and results'!$B$99+'2. Inputs and results'!$B$101," ")</f>
        <v xml:space="preserve"> </v>
      </c>
      <c r="D44" s="4" t="e">
        <f>IF(A44&lt;('2. Inputs and results'!$B$21+1),D43+C44,NA())</f>
        <v>#N/A</v>
      </c>
      <c r="E44" s="4" t="str">
        <f>IF(B44&lt;('2. Inputs and results'!$B$21+1),C44/((1+$P$2)^A44)," ")</f>
        <v xml:space="preserve"> </v>
      </c>
      <c r="F44" s="4" t="str">
        <f>IF(A44&lt;('2. Inputs and results'!$B$21+1),F43+E44," ")</f>
        <v xml:space="preserve"> </v>
      </c>
      <c r="G44" s="4" t="str">
        <f>IF(A44&lt;('2. Inputs and results'!$B$21+1),G43*(1+'2. Inputs and results'!$B$44)," ")</f>
        <v xml:space="preserve"> </v>
      </c>
      <c r="H44" s="4" t="str">
        <f>IF(A44&lt;('2. Inputs and results'!$B$21+1),H43*(1+'2. Inputs and results'!$B$56)," ")</f>
        <v xml:space="preserve"> </v>
      </c>
      <c r="I44" s="4" t="str">
        <f>IF(A44&lt;('2. Inputs and results'!$B$21+1),I43*(1+'2. Inputs and results'!$B$32)," ")</f>
        <v xml:space="preserve"> </v>
      </c>
      <c r="J44" s="4" t="str">
        <f>IF(A44&lt;('2. Inputs and results'!$B$21+1),J43*(1+'2. Inputs and results'!$B$66)," ")</f>
        <v xml:space="preserve"> </v>
      </c>
      <c r="K44" s="4" t="e">
        <f>IF('Solution 1, (hidden)'!A44&lt;('2. Inputs and results'!$B$21+1),K43+(G44+I44+H44+J44),NA())</f>
        <v>#N/A</v>
      </c>
      <c r="L44" s="4" t="e">
        <f>IF(A44&lt;('2. Inputs and results'!$B$21+1),L43,NA())</f>
        <v>#N/A</v>
      </c>
      <c r="M44" s="4" t="str">
        <f>IF(A44&lt;('2. Inputs and results'!$B$21+1),'2. Inputs and results'!$B$75*'2. Inputs and results'!$B$73," ")</f>
        <v xml:space="preserve"> </v>
      </c>
      <c r="N44" s="4" t="str">
        <f>IF(A44&lt;('2. Inputs and results'!$B$21+1),M44/((1+$P$2)^A44)," ")</f>
        <v xml:space="preserve"> </v>
      </c>
      <c r="O44" s="4" t="str">
        <f>IF(A44&lt;('2. Inputs and results'!$B$21+1),'2. Inputs and results'!$B$73*'2. Inputs and results'!$B$75+O43," ")</f>
        <v xml:space="preserve"> </v>
      </c>
      <c r="P44" s="4" t="str">
        <f>IF(A44&lt;('2. Inputs and results'!$B$21+1),(G44+I44+H44+J44)/((1+$P$2)^A44)," ")</f>
        <v xml:space="preserve"> </v>
      </c>
      <c r="Q44" s="4" t="str">
        <f>IF(A44&lt;('2. Inputs and results'!$B$21+1),Q43+P44," ")</f>
        <v xml:space="preserve"> </v>
      </c>
      <c r="R44" s="4" t="e">
        <f>IF(A44&lt;('2. Inputs and results'!$B$21+1),R43+G44+I44+J44+H44+T44-$V$6,NA())</f>
        <v>#N/A</v>
      </c>
      <c r="S44" s="4" t="str">
        <f>IF(A44&lt;('2. Inputs and results'!$B$21+1),'2. Inputs and results'!$B$79*(R43)," ")</f>
        <v xml:space="preserve"> </v>
      </c>
      <c r="T44" s="4">
        <f t="shared" si="1"/>
        <v>0</v>
      </c>
      <c r="U44" s="4" t="e">
        <f>IF(A44&lt;('2. Inputs and results'!$B$21+1),U43+(T44+I44+G44+H44+J44-$V$6)/((1+$P$2)^A44),NA())</f>
        <v>#N/A</v>
      </c>
      <c r="V44" s="4" t="str">
        <f>IF(A44&lt;('2. Inputs and results'!$B$21+1),V43+('2. Inputs and results'!$B$75*'2. Inputs and results'!$B$73)," ")</f>
        <v xml:space="preserve"> </v>
      </c>
      <c r="W44" s="4" t="e">
        <f>IF(A44&lt;('2. Inputs and results'!$B$21+1),W43+C44+Y44-$V$6,NA())</f>
        <v>#N/A</v>
      </c>
      <c r="X44" s="4" t="str">
        <f>IF(A44&lt;('2. Inputs and results'!$B$21+1),'2. Inputs and results'!$B$79*W43," ")</f>
        <v xml:space="preserve"> </v>
      </c>
      <c r="Y44" s="4">
        <f t="shared" si="2"/>
        <v>0</v>
      </c>
      <c r="Z44" s="4" t="e">
        <f>IF(A44&lt;('2. Inputs and results'!$B$21+1),Z43+(C44-$V$6+Y44)/((1+$P$2)^A44),NA())</f>
        <v>#N/A</v>
      </c>
      <c r="AA44" s="4" t="str">
        <f>IF(A44&lt;('2. Inputs and results'!$B$21+1),AA43+(G44+I44+H44+T44-$V$6)," ")</f>
        <v xml:space="preserve"> </v>
      </c>
      <c r="AB44" s="20" t="e">
        <f>IF(A44&lt;('2. Inputs and results'!$B$21+1),AA44/L44,NA())</f>
        <v>#N/A</v>
      </c>
      <c r="AC44" s="29" t="str">
        <f>IF(A44&lt;('2. Inputs and results'!$B$21+1),AC43+(C44+Y44-$V$6)," ")</f>
        <v xml:space="preserve"> </v>
      </c>
      <c r="AD44" s="20" t="e">
        <f>IF(A44&lt;('2. Inputs and results'!$B$21+1),AC44/L44,NA())</f>
        <v>#N/A</v>
      </c>
      <c r="AE44" t="str">
        <f>IF(A44&lt;('2. Inputs and results'!$B$21+1),-'2. Inputs and results'!$B$121*A44," ")</f>
        <v xml:space="preserve"> </v>
      </c>
      <c r="AF44" t="e">
        <f>IF(A44&lt;('2. Inputs and results'!$B$21+1),AE44/1000,NA())</f>
        <v>#N/A</v>
      </c>
    </row>
    <row r="45" spans="1:32" x14ac:dyDescent="0.25">
      <c r="A45">
        <f t="shared" si="0"/>
        <v>40</v>
      </c>
      <c r="B45" t="str">
        <f>IF(A45&lt;('2. Inputs and results'!$B$21+1),A45," ")</f>
        <v xml:space="preserve"> </v>
      </c>
      <c r="C45" s="4" t="str">
        <f>IF(A45&lt;('2. Inputs and results'!$B$21+1),'2. Inputs and results'!$B$99+'2. Inputs and results'!$B$101," ")</f>
        <v xml:space="preserve"> </v>
      </c>
      <c r="D45" s="4" t="e">
        <f>IF(A45&lt;('2. Inputs and results'!$B$21+1),D44+C45,NA())</f>
        <v>#N/A</v>
      </c>
      <c r="E45" s="4" t="str">
        <f>IF(B45&lt;('2. Inputs and results'!$B$21+1),C45/((1+$P$2)^A45)," ")</f>
        <v xml:space="preserve"> </v>
      </c>
      <c r="F45" s="4" t="str">
        <f>IF(A45&lt;('2. Inputs and results'!$B$21+1),F44+E45," ")</f>
        <v xml:space="preserve"> </v>
      </c>
      <c r="G45" s="4" t="str">
        <f>IF(A45&lt;('2. Inputs and results'!$B$21+1),G44*(1+'2. Inputs and results'!$B$44)," ")</f>
        <v xml:space="preserve"> </v>
      </c>
      <c r="H45" s="4" t="str">
        <f>IF(A45&lt;('2. Inputs and results'!$B$21+1),H44*(1+'2. Inputs and results'!$B$56)," ")</f>
        <v xml:space="preserve"> </v>
      </c>
      <c r="I45" s="4" t="str">
        <f>IF(A45&lt;('2. Inputs and results'!$B$21+1),I44*(1+'2. Inputs and results'!$B$32)," ")</f>
        <v xml:space="preserve"> </v>
      </c>
      <c r="J45" s="4" t="str">
        <f>IF(A45&lt;('2. Inputs and results'!$B$21+1),J44*(1+'2. Inputs and results'!$B$66)," ")</f>
        <v xml:space="preserve"> </v>
      </c>
      <c r="K45" s="4" t="e">
        <f>IF('Solution 1, (hidden)'!A45&lt;('2. Inputs and results'!$B$21+1),K44+(G45+I45+H45+J45),NA())</f>
        <v>#N/A</v>
      </c>
      <c r="L45" s="4" t="e">
        <f>IF(A45&lt;('2. Inputs and results'!$B$21+1),L44,NA())</f>
        <v>#N/A</v>
      </c>
      <c r="M45" s="4" t="str">
        <f>IF(A45&lt;('2. Inputs and results'!$B$21+1),'2. Inputs and results'!$B$75*'2. Inputs and results'!$B$73," ")</f>
        <v xml:space="preserve"> </v>
      </c>
      <c r="N45" s="4" t="str">
        <f>IF(A45&lt;('2. Inputs and results'!$B$21+1),M45/((1+$P$2)^A45)," ")</f>
        <v xml:space="preserve"> </v>
      </c>
      <c r="O45" s="4" t="str">
        <f>IF(A45&lt;('2. Inputs and results'!$B$21+1),'2. Inputs and results'!$B$73*'2. Inputs and results'!$B$75+O44," ")</f>
        <v xml:space="preserve"> </v>
      </c>
      <c r="P45" s="4" t="str">
        <f>IF(A45&lt;('2. Inputs and results'!$B$21+1),(G45+I45+H45+J45)/((1+$P$2)^A45)," ")</f>
        <v xml:space="preserve"> </v>
      </c>
      <c r="Q45" s="4" t="str">
        <f>IF(A45&lt;('2. Inputs and results'!$B$21+1),Q44+P45," ")</f>
        <v xml:space="preserve"> </v>
      </c>
      <c r="R45" s="4" t="e">
        <f>IF(A45&lt;('2. Inputs and results'!$B$21+1),R44+G45+I45+J45+H45+T45-$V$6,NA())</f>
        <v>#N/A</v>
      </c>
      <c r="S45" s="4" t="str">
        <f>IF(A45&lt;('2. Inputs and results'!$B$21+1),'2. Inputs and results'!$B$79*(R44)," ")</f>
        <v xml:space="preserve"> </v>
      </c>
      <c r="T45" s="4">
        <f t="shared" si="1"/>
        <v>0</v>
      </c>
      <c r="U45" s="4" t="e">
        <f>IF(A45&lt;('2. Inputs and results'!$B$21+1),U44+(T45+I45+G45+H45+J45-$V$6)/((1+$P$2)^A45),NA())</f>
        <v>#N/A</v>
      </c>
      <c r="V45" s="4" t="str">
        <f>IF(A45&lt;('2. Inputs and results'!$B$21+1),V44+('2. Inputs and results'!$B$75*'2. Inputs and results'!$B$73)," ")</f>
        <v xml:space="preserve"> </v>
      </c>
      <c r="W45" s="4" t="e">
        <f>IF(A45&lt;('2. Inputs and results'!$B$21+1),W44+C45+Y45-$V$6,NA())</f>
        <v>#N/A</v>
      </c>
      <c r="X45" s="4" t="str">
        <f>IF(A45&lt;('2. Inputs and results'!$B$21+1),'2. Inputs and results'!$B$79*W44," ")</f>
        <v xml:space="preserve"> </v>
      </c>
      <c r="Y45" s="4">
        <f t="shared" si="2"/>
        <v>0</v>
      </c>
      <c r="Z45" s="4" t="e">
        <f>IF(A45&lt;('2. Inputs and results'!$B$21+1),Z44+(C45-$V$6+Y45)/((1+$P$2)^A45),NA())</f>
        <v>#N/A</v>
      </c>
      <c r="AA45" s="4" t="str">
        <f>IF(A45&lt;('2. Inputs and results'!$B$21+1),AA44+(G45+I45+H45+T45-$V$6)," ")</f>
        <v xml:space="preserve"> </v>
      </c>
      <c r="AB45" s="20" t="e">
        <f>IF(A45&lt;('2. Inputs and results'!$B$21+1),AA45/L45,NA())</f>
        <v>#N/A</v>
      </c>
      <c r="AC45" s="29" t="str">
        <f>IF(A45&lt;('2. Inputs and results'!$B$21+1),AC44+(C45+Y45-$V$6)," ")</f>
        <v xml:space="preserve"> </v>
      </c>
      <c r="AD45" s="20" t="e">
        <f>IF(A45&lt;('2. Inputs and results'!$B$21+1),AC45/L45,NA())</f>
        <v>#N/A</v>
      </c>
      <c r="AE45" t="str">
        <f>IF(A45&lt;('2. Inputs and results'!$B$21+1),-'2. Inputs and results'!$B$121*A45," ")</f>
        <v xml:space="preserve"> </v>
      </c>
      <c r="AF45" t="e">
        <f>IF(A45&lt;('2. Inputs and results'!$B$21+1),AE45/1000,NA())</f>
        <v>#N/A</v>
      </c>
    </row>
    <row r="46" spans="1:32" x14ac:dyDescent="0.25">
      <c r="A46">
        <f t="shared" si="0"/>
        <v>41</v>
      </c>
      <c r="B46" t="str">
        <f>IF(A46&lt;('2. Inputs and results'!$B$21+1),A46," ")</f>
        <v xml:space="preserve"> </v>
      </c>
      <c r="C46" s="4" t="str">
        <f>IF(A46&lt;('2. Inputs and results'!$B$21+1),'2. Inputs and results'!$B$99+'2. Inputs and results'!$B$101," ")</f>
        <v xml:space="preserve"> </v>
      </c>
      <c r="D46" s="4" t="e">
        <f>IF(A46&lt;('2. Inputs and results'!$B$21+1),D45+C46,NA())</f>
        <v>#N/A</v>
      </c>
      <c r="E46" s="4" t="str">
        <f>IF(B46&lt;('2. Inputs and results'!$B$21+1),C46/((1+$P$2)^A46)," ")</f>
        <v xml:space="preserve"> </v>
      </c>
      <c r="F46" s="4" t="str">
        <f>IF(A46&lt;('2. Inputs and results'!$B$21+1),F45+E46," ")</f>
        <v xml:space="preserve"> </v>
      </c>
      <c r="G46" s="4" t="str">
        <f>IF(A46&lt;('2. Inputs and results'!$B$21+1),G45*(1+'2. Inputs and results'!$B$44)," ")</f>
        <v xml:space="preserve"> </v>
      </c>
      <c r="H46" s="4" t="str">
        <f>IF(A46&lt;('2. Inputs and results'!$B$21+1),H45*(1+'2. Inputs and results'!$B$56)," ")</f>
        <v xml:space="preserve"> </v>
      </c>
      <c r="I46" s="4" t="str">
        <f>IF(A46&lt;('2. Inputs and results'!$B$21+1),I45*(1+'2. Inputs and results'!$B$32)," ")</f>
        <v xml:space="preserve"> </v>
      </c>
      <c r="J46" s="4" t="str">
        <f>IF(A46&lt;('2. Inputs and results'!$B$21+1),J45*(1+'2. Inputs and results'!$B$66)," ")</f>
        <v xml:space="preserve"> </v>
      </c>
      <c r="K46" s="4" t="e">
        <f>IF('Solution 1, (hidden)'!A46&lt;('2. Inputs and results'!$B$21+1),K45+(G46+I46+H46+J46),NA())</f>
        <v>#N/A</v>
      </c>
      <c r="L46" s="4" t="e">
        <f>IF(A46&lt;('2. Inputs and results'!$B$21+1),L45,NA())</f>
        <v>#N/A</v>
      </c>
      <c r="M46" s="4" t="str">
        <f>IF(A46&lt;('2. Inputs and results'!$B$21+1),'2. Inputs and results'!$B$75*'2. Inputs and results'!$B$73," ")</f>
        <v xml:space="preserve"> </v>
      </c>
      <c r="N46" s="4" t="str">
        <f>IF(A46&lt;('2. Inputs and results'!$B$21+1),M46/((1+$P$2)^A46)," ")</f>
        <v xml:space="preserve"> </v>
      </c>
      <c r="O46" s="4" t="str">
        <f>IF(A46&lt;('2. Inputs and results'!$B$21+1),'2. Inputs and results'!$B$73*'2. Inputs and results'!$B$75+O45," ")</f>
        <v xml:space="preserve"> </v>
      </c>
      <c r="P46" s="4" t="str">
        <f>IF(A46&lt;('2. Inputs and results'!$B$21+1),(G46+I46+H46+J46)/((1+$P$2)^A46)," ")</f>
        <v xml:space="preserve"> </v>
      </c>
      <c r="Q46" s="4" t="str">
        <f>IF(A46&lt;('2. Inputs and results'!$B$21+1),Q45+P46," ")</f>
        <v xml:space="preserve"> </v>
      </c>
      <c r="R46" s="4" t="e">
        <f>IF(A46&lt;('2. Inputs and results'!$B$21+1),R45+G46+I46+J46+H46+T46-$V$6,NA())</f>
        <v>#N/A</v>
      </c>
      <c r="S46" s="4" t="str">
        <f>IF(A46&lt;('2. Inputs and results'!$B$21+1),'2. Inputs and results'!$B$79*(R45)," ")</f>
        <v xml:space="preserve"> </v>
      </c>
      <c r="T46" s="4">
        <f t="shared" si="1"/>
        <v>0</v>
      </c>
      <c r="U46" s="4" t="e">
        <f>IF(A46&lt;('2. Inputs and results'!$B$21+1),U45+(T46+I46+G46+H46+J46-$V$6)/((1+$P$2)^A46),NA())</f>
        <v>#N/A</v>
      </c>
      <c r="V46" s="4" t="str">
        <f>IF(A46&lt;('2. Inputs and results'!$B$21+1),V45+('2. Inputs and results'!$B$75*'2. Inputs and results'!$B$73)," ")</f>
        <v xml:space="preserve"> </v>
      </c>
      <c r="W46" s="4" t="e">
        <f>IF(A46&lt;('2. Inputs and results'!$B$21+1),W45+C46+Y46-$V$6,NA())</f>
        <v>#N/A</v>
      </c>
      <c r="X46" s="4" t="str">
        <f>IF(A46&lt;('2. Inputs and results'!$B$21+1),'2. Inputs and results'!$B$79*W45," ")</f>
        <v xml:space="preserve"> </v>
      </c>
      <c r="Y46" s="4">
        <f t="shared" si="2"/>
        <v>0</v>
      </c>
      <c r="Z46" s="4" t="e">
        <f>IF(A46&lt;('2. Inputs and results'!$B$21+1),Z45+(C46-$V$6+Y46)/((1+$P$2)^A46),NA())</f>
        <v>#N/A</v>
      </c>
      <c r="AA46" s="4" t="str">
        <f>IF(A46&lt;('2. Inputs and results'!$B$21+1),AA45+(G46+I46+H46+T46-$V$6)," ")</f>
        <v xml:space="preserve"> </v>
      </c>
      <c r="AB46" s="20" t="e">
        <f>IF(A46&lt;('2. Inputs and results'!$B$21+1),AA46/L46,NA())</f>
        <v>#N/A</v>
      </c>
      <c r="AC46" s="29" t="str">
        <f>IF(A46&lt;('2. Inputs and results'!$B$21+1),AC45+(C46+Y46-$V$6)," ")</f>
        <v xml:space="preserve"> </v>
      </c>
      <c r="AD46" s="20" t="e">
        <f>IF(A46&lt;('2. Inputs and results'!$B$21+1),AC46/L46,NA())</f>
        <v>#N/A</v>
      </c>
      <c r="AE46" t="str">
        <f>IF(A46&lt;('2. Inputs and results'!$B$21+1),-'2. Inputs and results'!$B$121*A46," ")</f>
        <v xml:space="preserve"> </v>
      </c>
      <c r="AF46" t="e">
        <f>IF(A46&lt;('2. Inputs and results'!$B$21+1),AE46/1000,NA())</f>
        <v>#N/A</v>
      </c>
    </row>
    <row r="47" spans="1:32" x14ac:dyDescent="0.25">
      <c r="A47">
        <f t="shared" si="0"/>
        <v>42</v>
      </c>
      <c r="B47" t="str">
        <f>IF(A47&lt;('2. Inputs and results'!$B$21+1),A47," ")</f>
        <v xml:space="preserve"> </v>
      </c>
      <c r="C47" s="4" t="str">
        <f>IF(A47&lt;('2. Inputs and results'!$B$21+1),'2. Inputs and results'!$B$99+'2. Inputs and results'!$B$101," ")</f>
        <v xml:space="preserve"> </v>
      </c>
      <c r="D47" s="4" t="e">
        <f>IF(A47&lt;('2. Inputs and results'!$B$21+1),D46+C47,NA())</f>
        <v>#N/A</v>
      </c>
      <c r="E47" s="4" t="str">
        <f>IF(B47&lt;('2. Inputs and results'!$B$21+1),C47/((1+$P$2)^A47)," ")</f>
        <v xml:space="preserve"> </v>
      </c>
      <c r="F47" s="4" t="str">
        <f>IF(A47&lt;('2. Inputs and results'!$B$21+1),F46+E47," ")</f>
        <v xml:space="preserve"> </v>
      </c>
      <c r="G47" s="4" t="str">
        <f>IF(A47&lt;('2. Inputs and results'!$B$21+1),G46*(1+'2. Inputs and results'!$B$44)," ")</f>
        <v xml:space="preserve"> </v>
      </c>
      <c r="H47" s="4" t="str">
        <f>IF(A47&lt;('2. Inputs and results'!$B$21+1),H46*(1+'2. Inputs and results'!$B$56)," ")</f>
        <v xml:space="preserve"> </v>
      </c>
      <c r="I47" s="4" t="str">
        <f>IF(A47&lt;('2. Inputs and results'!$B$21+1),I46*(1+'2. Inputs and results'!$B$32)," ")</f>
        <v xml:space="preserve"> </v>
      </c>
      <c r="J47" s="4" t="str">
        <f>IF(A47&lt;('2. Inputs and results'!$B$21+1),J46*(1+'2. Inputs and results'!$B$66)," ")</f>
        <v xml:space="preserve"> </v>
      </c>
      <c r="K47" s="4" t="e">
        <f>IF('Solution 1, (hidden)'!A47&lt;('2. Inputs and results'!$B$21+1),K46+(G47+I47+H47+J47),NA())</f>
        <v>#N/A</v>
      </c>
      <c r="L47" s="4" t="e">
        <f>IF(A47&lt;('2. Inputs and results'!$B$21+1),L46,NA())</f>
        <v>#N/A</v>
      </c>
      <c r="M47" s="4" t="str">
        <f>IF(A47&lt;('2. Inputs and results'!$B$21+1),'2. Inputs and results'!$B$75*'2. Inputs and results'!$B$73," ")</f>
        <v xml:space="preserve"> </v>
      </c>
      <c r="N47" s="4" t="str">
        <f>IF(A47&lt;('2. Inputs and results'!$B$21+1),M47/((1+$P$2)^A47)," ")</f>
        <v xml:space="preserve"> </v>
      </c>
      <c r="O47" s="4" t="str">
        <f>IF(A47&lt;('2. Inputs and results'!$B$21+1),'2. Inputs and results'!$B$73*'2. Inputs and results'!$B$75+O46," ")</f>
        <v xml:space="preserve"> </v>
      </c>
      <c r="P47" s="4" t="str">
        <f>IF(A47&lt;('2. Inputs and results'!$B$21+1),(G47+I47+H47+J47)/((1+$P$2)^A47)," ")</f>
        <v xml:space="preserve"> </v>
      </c>
      <c r="Q47" s="4" t="str">
        <f>IF(A47&lt;('2. Inputs and results'!$B$21+1),Q46+P47," ")</f>
        <v xml:space="preserve"> </v>
      </c>
      <c r="R47" s="4" t="e">
        <f>IF(A47&lt;('2. Inputs and results'!$B$21+1),R46+G47+I47+J47+H47+T47-$V$6,NA())</f>
        <v>#N/A</v>
      </c>
      <c r="S47" s="4" t="str">
        <f>IF(A47&lt;('2. Inputs and results'!$B$21+1),'2. Inputs and results'!$B$79*(R46)," ")</f>
        <v xml:space="preserve"> </v>
      </c>
      <c r="T47" s="4">
        <f t="shared" si="1"/>
        <v>0</v>
      </c>
      <c r="U47" s="4" t="e">
        <f>IF(A47&lt;('2. Inputs and results'!$B$21+1),U46+(T47+I47+G47+H47+J47-$V$6)/((1+$P$2)^A47),NA())</f>
        <v>#N/A</v>
      </c>
      <c r="V47" s="4" t="str">
        <f>IF(A47&lt;('2. Inputs and results'!$B$21+1),V46+('2. Inputs and results'!$B$75*'2. Inputs and results'!$B$73)," ")</f>
        <v xml:space="preserve"> </v>
      </c>
      <c r="W47" s="4" t="e">
        <f>IF(A47&lt;('2. Inputs and results'!$B$21+1),W46+C47+Y47-$V$6,NA())</f>
        <v>#N/A</v>
      </c>
      <c r="X47" s="4" t="str">
        <f>IF(A47&lt;('2. Inputs and results'!$B$21+1),'2. Inputs and results'!$B$79*W46," ")</f>
        <v xml:space="preserve"> </v>
      </c>
      <c r="Y47" s="4">
        <f t="shared" si="2"/>
        <v>0</v>
      </c>
      <c r="Z47" s="4" t="e">
        <f>IF(A47&lt;('2. Inputs and results'!$B$21+1),Z46+(C47-$V$6+Y47)/((1+$P$2)^A47),NA())</f>
        <v>#N/A</v>
      </c>
      <c r="AA47" s="4" t="str">
        <f>IF(A47&lt;('2. Inputs and results'!$B$21+1),AA46+(G47+I47+H47+T47-$V$6)," ")</f>
        <v xml:space="preserve"> </v>
      </c>
      <c r="AB47" s="20" t="e">
        <f>IF(A47&lt;('2. Inputs and results'!$B$21+1),AA47/L47,NA())</f>
        <v>#N/A</v>
      </c>
      <c r="AC47" s="29" t="str">
        <f>IF(A47&lt;('2. Inputs and results'!$B$21+1),AC46+(C47+Y47-$V$6)," ")</f>
        <v xml:space="preserve"> </v>
      </c>
      <c r="AD47" s="20" t="e">
        <f>IF(A47&lt;('2. Inputs and results'!$B$21+1),AC47/L47,NA())</f>
        <v>#N/A</v>
      </c>
      <c r="AE47" t="str">
        <f>IF(A47&lt;('2. Inputs and results'!$B$21+1),-'2. Inputs and results'!$B$121*A47," ")</f>
        <v xml:space="preserve"> </v>
      </c>
      <c r="AF47" t="e">
        <f>IF(A47&lt;('2. Inputs and results'!$B$21+1),AE47/1000,NA())</f>
        <v>#N/A</v>
      </c>
    </row>
    <row r="48" spans="1:32" x14ac:dyDescent="0.25">
      <c r="A48">
        <f t="shared" si="0"/>
        <v>43</v>
      </c>
      <c r="B48" t="str">
        <f>IF(A48&lt;('2. Inputs and results'!$B$21+1),A48," ")</f>
        <v xml:space="preserve"> </v>
      </c>
      <c r="C48" s="4" t="str">
        <f>IF(A48&lt;('2. Inputs and results'!$B$21+1),'2. Inputs and results'!$B$99+'2. Inputs and results'!$B$101," ")</f>
        <v xml:space="preserve"> </v>
      </c>
      <c r="D48" s="4" t="e">
        <f>IF(A48&lt;('2. Inputs and results'!$B$21+1),D47+C48,NA())</f>
        <v>#N/A</v>
      </c>
      <c r="E48" s="4" t="str">
        <f>IF(B48&lt;('2. Inputs and results'!$B$21+1),C48/((1+$P$2)^A48)," ")</f>
        <v xml:space="preserve"> </v>
      </c>
      <c r="F48" s="4" t="str">
        <f>IF(A48&lt;('2. Inputs and results'!$B$21+1),F47+E48," ")</f>
        <v xml:space="preserve"> </v>
      </c>
      <c r="G48" s="4" t="str">
        <f>IF(A48&lt;('2. Inputs and results'!$B$21+1),G47*(1+'2. Inputs and results'!$B$44)," ")</f>
        <v xml:space="preserve"> </v>
      </c>
      <c r="H48" s="4" t="str">
        <f>IF(A48&lt;('2. Inputs and results'!$B$21+1),H47*(1+'2. Inputs and results'!$B$56)," ")</f>
        <v xml:space="preserve"> </v>
      </c>
      <c r="I48" s="4" t="str">
        <f>IF(A48&lt;('2. Inputs and results'!$B$21+1),I47*(1+'2. Inputs and results'!$B$32)," ")</f>
        <v xml:space="preserve"> </v>
      </c>
      <c r="J48" s="4" t="str">
        <f>IF(A48&lt;('2. Inputs and results'!$B$21+1),J47*(1+'2. Inputs and results'!$B$66)," ")</f>
        <v xml:space="preserve"> </v>
      </c>
      <c r="K48" s="4" t="e">
        <f>IF('Solution 1, (hidden)'!A48&lt;('2. Inputs and results'!$B$21+1),K47+(G48+I48+H48+J48),NA())</f>
        <v>#N/A</v>
      </c>
      <c r="L48" s="4" t="e">
        <f>IF(A48&lt;('2. Inputs and results'!$B$21+1),L47,NA())</f>
        <v>#N/A</v>
      </c>
      <c r="M48" s="4" t="str">
        <f>IF(A48&lt;('2. Inputs and results'!$B$21+1),'2. Inputs and results'!$B$75*'2. Inputs and results'!$B$73," ")</f>
        <v xml:space="preserve"> </v>
      </c>
      <c r="N48" s="4" t="str">
        <f>IF(A48&lt;('2. Inputs and results'!$B$21+1),M48/((1+$P$2)^A48)," ")</f>
        <v xml:space="preserve"> </v>
      </c>
      <c r="O48" s="4" t="str">
        <f>IF(A48&lt;('2. Inputs and results'!$B$21+1),'2. Inputs and results'!$B$73*'2. Inputs and results'!$B$75+O47," ")</f>
        <v xml:space="preserve"> </v>
      </c>
      <c r="P48" s="4" t="str">
        <f>IF(A48&lt;('2. Inputs and results'!$B$21+1),(G48+I48+H48+J48)/((1+$P$2)^A48)," ")</f>
        <v xml:space="preserve"> </v>
      </c>
      <c r="Q48" s="4" t="str">
        <f>IF(A48&lt;('2. Inputs and results'!$B$21+1),Q47+P48," ")</f>
        <v xml:space="preserve"> </v>
      </c>
      <c r="R48" s="4" t="e">
        <f>IF(A48&lt;('2. Inputs and results'!$B$21+1),R47+G48+I48+J48+H48+T48-$V$6,NA())</f>
        <v>#N/A</v>
      </c>
      <c r="S48" s="4" t="str">
        <f>IF(A48&lt;('2. Inputs and results'!$B$21+1),'2. Inputs and results'!$B$79*(R47)," ")</f>
        <v xml:space="preserve"> </v>
      </c>
      <c r="T48" s="4">
        <f t="shared" si="1"/>
        <v>0</v>
      </c>
      <c r="U48" s="4" t="e">
        <f>IF(A48&lt;('2. Inputs and results'!$B$21+1),U47+(T48+I48+G48+H48+J48-$V$6)/((1+$P$2)^A48),NA())</f>
        <v>#N/A</v>
      </c>
      <c r="V48" s="4" t="str">
        <f>IF(A48&lt;('2. Inputs and results'!$B$21+1),V47+('2. Inputs and results'!$B$75*'2. Inputs and results'!$B$73)," ")</f>
        <v xml:space="preserve"> </v>
      </c>
      <c r="W48" s="4" t="e">
        <f>IF(A48&lt;('2. Inputs and results'!$B$21+1),W47+C48+Y48-$V$6,NA())</f>
        <v>#N/A</v>
      </c>
      <c r="X48" s="4" t="str">
        <f>IF(A48&lt;('2. Inputs and results'!$B$21+1),'2. Inputs and results'!$B$79*W47," ")</f>
        <v xml:space="preserve"> </v>
      </c>
      <c r="Y48" s="4">
        <f t="shared" si="2"/>
        <v>0</v>
      </c>
      <c r="Z48" s="4" t="e">
        <f>IF(A48&lt;('2. Inputs and results'!$B$21+1),Z47+(C48-$V$6+Y48)/((1+$P$2)^A48),NA())</f>
        <v>#N/A</v>
      </c>
      <c r="AA48" s="4" t="str">
        <f>IF(A48&lt;('2. Inputs and results'!$B$21+1),AA47+(G48+I48+H48+T48-$V$6)," ")</f>
        <v xml:space="preserve"> </v>
      </c>
      <c r="AB48" s="20" t="e">
        <f>IF(A48&lt;('2. Inputs and results'!$B$21+1),AA48/L48,NA())</f>
        <v>#N/A</v>
      </c>
      <c r="AC48" s="29" t="str">
        <f>IF(A48&lt;('2. Inputs and results'!$B$21+1),AC47+(C48+Y48-$V$6)," ")</f>
        <v xml:space="preserve"> </v>
      </c>
      <c r="AD48" s="20" t="e">
        <f>IF(A48&lt;('2. Inputs and results'!$B$21+1),AC48/L48,NA())</f>
        <v>#N/A</v>
      </c>
      <c r="AE48" t="str">
        <f>IF(A48&lt;('2. Inputs and results'!$B$21+1),-'2. Inputs and results'!$B$121*A48," ")</f>
        <v xml:space="preserve"> </v>
      </c>
      <c r="AF48" t="e">
        <f>IF(A48&lt;('2. Inputs and results'!$B$21+1),AE48/1000,NA())</f>
        <v>#N/A</v>
      </c>
    </row>
    <row r="49" spans="1:32" x14ac:dyDescent="0.25">
      <c r="A49">
        <f t="shared" si="0"/>
        <v>44</v>
      </c>
      <c r="B49" t="str">
        <f>IF(A49&lt;('2. Inputs and results'!$B$21+1),A49," ")</f>
        <v xml:space="preserve"> </v>
      </c>
      <c r="C49" s="4" t="str">
        <f>IF(A49&lt;('2. Inputs and results'!$B$21+1),'2. Inputs and results'!$B$99+'2. Inputs and results'!$B$101," ")</f>
        <v xml:space="preserve"> </v>
      </c>
      <c r="D49" s="4" t="e">
        <f>IF(A49&lt;('2. Inputs and results'!$B$21+1),D48+C49,NA())</f>
        <v>#N/A</v>
      </c>
      <c r="E49" s="4" t="str">
        <f>IF(B49&lt;('2. Inputs and results'!$B$21+1),C49/((1+$P$2)^A49)," ")</f>
        <v xml:space="preserve"> </v>
      </c>
      <c r="F49" s="4" t="str">
        <f>IF(A49&lt;('2. Inputs and results'!$B$21+1),F48+E49," ")</f>
        <v xml:space="preserve"> </v>
      </c>
      <c r="G49" s="4" t="str">
        <f>IF(A49&lt;('2. Inputs and results'!$B$21+1),G48*(1+'2. Inputs and results'!$B$44)," ")</f>
        <v xml:space="preserve"> </v>
      </c>
      <c r="H49" s="4" t="str">
        <f>IF(A49&lt;('2. Inputs and results'!$B$21+1),H48*(1+'2. Inputs and results'!$B$56)," ")</f>
        <v xml:space="preserve"> </v>
      </c>
      <c r="I49" s="4" t="str">
        <f>IF(A49&lt;('2. Inputs and results'!$B$21+1),I48*(1+'2. Inputs and results'!$B$32)," ")</f>
        <v xml:space="preserve"> </v>
      </c>
      <c r="J49" s="4" t="str">
        <f>IF(A49&lt;('2. Inputs and results'!$B$21+1),J48*(1+'2. Inputs and results'!$B$66)," ")</f>
        <v xml:space="preserve"> </v>
      </c>
      <c r="K49" s="4" t="e">
        <f>IF('Solution 1, (hidden)'!A49&lt;('2. Inputs and results'!$B$21+1),K48+(G49+I49+H49+J49),NA())</f>
        <v>#N/A</v>
      </c>
      <c r="L49" s="4" t="e">
        <f>IF(A49&lt;('2. Inputs and results'!$B$21+1),L48,NA())</f>
        <v>#N/A</v>
      </c>
      <c r="M49" s="4" t="str">
        <f>IF(A49&lt;('2. Inputs and results'!$B$21+1),'2. Inputs and results'!$B$75*'2. Inputs and results'!$B$73," ")</f>
        <v xml:space="preserve"> </v>
      </c>
      <c r="N49" s="4" t="str">
        <f>IF(A49&lt;('2. Inputs and results'!$B$21+1),M49/((1+$P$2)^A49)," ")</f>
        <v xml:space="preserve"> </v>
      </c>
      <c r="O49" s="4" t="str">
        <f>IF(A49&lt;('2. Inputs and results'!$B$21+1),'2. Inputs and results'!$B$73*'2. Inputs and results'!$B$75+O48," ")</f>
        <v xml:space="preserve"> </v>
      </c>
      <c r="P49" s="4" t="str">
        <f>IF(A49&lt;('2. Inputs and results'!$B$21+1),(G49+I49+H49+J49)/((1+$P$2)^A49)," ")</f>
        <v xml:space="preserve"> </v>
      </c>
      <c r="Q49" s="4" t="str">
        <f>IF(A49&lt;('2. Inputs and results'!$B$21+1),Q48+P49," ")</f>
        <v xml:space="preserve"> </v>
      </c>
      <c r="R49" s="4" t="e">
        <f>IF(A49&lt;('2. Inputs and results'!$B$21+1),R48+G49+I49+J49+H49+T49-$V$6,NA())</f>
        <v>#N/A</v>
      </c>
      <c r="S49" s="4" t="str">
        <f>IF(A49&lt;('2. Inputs and results'!$B$21+1),'2. Inputs and results'!$B$79*(R48)," ")</f>
        <v xml:space="preserve"> </v>
      </c>
      <c r="T49" s="4">
        <f t="shared" si="1"/>
        <v>0</v>
      </c>
      <c r="U49" s="4" t="e">
        <f>IF(A49&lt;('2. Inputs and results'!$B$21+1),U48+(T49+I49+G49+H49+J49-$V$6)/((1+$P$2)^A49),NA())</f>
        <v>#N/A</v>
      </c>
      <c r="V49" s="4" t="str">
        <f>IF(A49&lt;('2. Inputs and results'!$B$21+1),V48+('2. Inputs and results'!$B$75*'2. Inputs and results'!$B$73)," ")</f>
        <v xml:space="preserve"> </v>
      </c>
      <c r="W49" s="4" t="e">
        <f>IF(A49&lt;('2. Inputs and results'!$B$21+1),W48+C49+Y49-$V$6,NA())</f>
        <v>#N/A</v>
      </c>
      <c r="X49" s="4" t="str">
        <f>IF(A49&lt;('2. Inputs and results'!$B$21+1),'2. Inputs and results'!$B$79*W48," ")</f>
        <v xml:space="preserve"> </v>
      </c>
      <c r="Y49" s="4">
        <f t="shared" si="2"/>
        <v>0</v>
      </c>
      <c r="Z49" s="4" t="e">
        <f>IF(A49&lt;('2. Inputs and results'!$B$21+1),Z48+(C49-$V$6+Y49)/((1+$P$2)^A49),NA())</f>
        <v>#N/A</v>
      </c>
      <c r="AA49" s="4" t="str">
        <f>IF(A49&lt;('2. Inputs and results'!$B$21+1),AA48+(G49+I49+H49+T49-$V$6)," ")</f>
        <v xml:space="preserve"> </v>
      </c>
      <c r="AB49" s="20" t="e">
        <f>IF(A49&lt;('2. Inputs and results'!$B$21+1),AA49/L49,NA())</f>
        <v>#N/A</v>
      </c>
      <c r="AC49" s="29" t="str">
        <f>IF(A49&lt;('2. Inputs and results'!$B$21+1),AC48+(C49+Y49-$V$6)," ")</f>
        <v xml:space="preserve"> </v>
      </c>
      <c r="AD49" s="20" t="e">
        <f>IF(A49&lt;('2. Inputs and results'!$B$21+1),AC49/L49,NA())</f>
        <v>#N/A</v>
      </c>
      <c r="AE49" t="str">
        <f>IF(A49&lt;('2. Inputs and results'!$B$21+1),-'2. Inputs and results'!$B$121*A49," ")</f>
        <v xml:space="preserve"> </v>
      </c>
      <c r="AF49" t="e">
        <f>IF(A49&lt;('2. Inputs and results'!$B$21+1),AE49/1000,NA())</f>
        <v>#N/A</v>
      </c>
    </row>
    <row r="50" spans="1:32" x14ac:dyDescent="0.25">
      <c r="A50">
        <f t="shared" si="0"/>
        <v>45</v>
      </c>
      <c r="B50" t="str">
        <f>IF(A50&lt;('2. Inputs and results'!$B$21+1),A50," ")</f>
        <v xml:space="preserve"> </v>
      </c>
      <c r="C50" s="4" t="str">
        <f>IF(A50&lt;('2. Inputs and results'!$B$21+1),'2. Inputs and results'!$B$99+'2. Inputs and results'!$B$101," ")</f>
        <v xml:space="preserve"> </v>
      </c>
      <c r="D50" s="4" t="e">
        <f>IF(A50&lt;('2. Inputs and results'!$B$21+1),D49+C50,NA())</f>
        <v>#N/A</v>
      </c>
      <c r="E50" s="4" t="str">
        <f>IF(B50&lt;('2. Inputs and results'!$B$21+1),C50/((1+$P$2)^A50)," ")</f>
        <v xml:space="preserve"> </v>
      </c>
      <c r="F50" s="4" t="str">
        <f>IF(A50&lt;('2. Inputs and results'!$B$21+1),F49+E50," ")</f>
        <v xml:space="preserve"> </v>
      </c>
      <c r="G50" s="4" t="str">
        <f>IF(A50&lt;('2. Inputs and results'!$B$21+1),G49*(1+'2. Inputs and results'!$B$44)," ")</f>
        <v xml:space="preserve"> </v>
      </c>
      <c r="H50" s="4" t="str">
        <f>IF(A50&lt;('2. Inputs and results'!$B$21+1),H49*(1+'2. Inputs and results'!$B$56)," ")</f>
        <v xml:space="preserve"> </v>
      </c>
      <c r="I50" s="4" t="str">
        <f>IF(A50&lt;('2. Inputs and results'!$B$21+1),I49*(1+'2. Inputs and results'!$B$32)," ")</f>
        <v xml:space="preserve"> </v>
      </c>
      <c r="J50" s="4" t="str">
        <f>IF(A50&lt;('2. Inputs and results'!$B$21+1),J49*(1+'2. Inputs and results'!$B$66)," ")</f>
        <v xml:space="preserve"> </v>
      </c>
      <c r="K50" s="4" t="e">
        <f>IF('Solution 1, (hidden)'!A50&lt;('2. Inputs and results'!$B$21+1),K49+(G50+I50+H50+J50),NA())</f>
        <v>#N/A</v>
      </c>
      <c r="L50" s="4" t="e">
        <f>IF(A50&lt;('2. Inputs and results'!$B$21+1),L49,NA())</f>
        <v>#N/A</v>
      </c>
      <c r="M50" s="4" t="str">
        <f>IF(A50&lt;('2. Inputs and results'!$B$21+1),'2. Inputs and results'!$B$75*'2. Inputs and results'!$B$73," ")</f>
        <v xml:space="preserve"> </v>
      </c>
      <c r="N50" s="4" t="str">
        <f>IF(A50&lt;('2. Inputs and results'!$B$21+1),M50/((1+$P$2)^A50)," ")</f>
        <v xml:space="preserve"> </v>
      </c>
      <c r="O50" s="4" t="str">
        <f>IF(A50&lt;('2. Inputs and results'!$B$21+1),'2. Inputs and results'!$B$73*'2. Inputs and results'!$B$75+O49," ")</f>
        <v xml:space="preserve"> </v>
      </c>
      <c r="P50" s="4" t="str">
        <f>IF(A50&lt;('2. Inputs and results'!$B$21+1),(G50+I50+H50+J50)/((1+$P$2)^A50)," ")</f>
        <v xml:space="preserve"> </v>
      </c>
      <c r="Q50" s="4" t="str">
        <f>IF(A50&lt;('2. Inputs and results'!$B$21+1),Q49+P50," ")</f>
        <v xml:space="preserve"> </v>
      </c>
      <c r="R50" s="4" t="e">
        <f>IF(A50&lt;('2. Inputs and results'!$B$21+1),R49+G50+I50+J50+H50+T50-$V$6,NA())</f>
        <v>#N/A</v>
      </c>
      <c r="S50" s="4" t="str">
        <f>IF(A50&lt;('2. Inputs and results'!$B$21+1),'2. Inputs and results'!$B$79*(R49)," ")</f>
        <v xml:space="preserve"> </v>
      </c>
      <c r="T50" s="4">
        <f t="shared" si="1"/>
        <v>0</v>
      </c>
      <c r="U50" s="4" t="e">
        <f>IF(A50&lt;('2. Inputs and results'!$B$21+1),U49+(T50+I50+G50+H50+J50-$V$6)/((1+$P$2)^A50),NA())</f>
        <v>#N/A</v>
      </c>
      <c r="V50" s="4" t="str">
        <f>IF(A50&lt;('2. Inputs and results'!$B$21+1),V49+('2. Inputs and results'!$B$75*'2. Inputs and results'!$B$73)," ")</f>
        <v xml:space="preserve"> </v>
      </c>
      <c r="W50" s="4" t="e">
        <f>IF(A50&lt;('2. Inputs and results'!$B$21+1),W49+C50+Y50-$V$6,NA())</f>
        <v>#N/A</v>
      </c>
      <c r="X50" s="4" t="str">
        <f>IF(A50&lt;('2. Inputs and results'!$B$21+1),'2. Inputs and results'!$B$79*W49," ")</f>
        <v xml:space="preserve"> </v>
      </c>
      <c r="Y50" s="4">
        <f t="shared" si="2"/>
        <v>0</v>
      </c>
      <c r="Z50" s="4" t="e">
        <f>IF(A50&lt;('2. Inputs and results'!$B$21+1),Z49+(C50-$V$6+Y50)/((1+$P$2)^A50),NA())</f>
        <v>#N/A</v>
      </c>
      <c r="AA50" s="4" t="str">
        <f>IF(A50&lt;('2. Inputs and results'!$B$21+1),AA49+(G50+I50+H50+T50-$V$6)," ")</f>
        <v xml:space="preserve"> </v>
      </c>
      <c r="AB50" s="20" t="e">
        <f>IF(A50&lt;('2. Inputs and results'!$B$21+1),AA50/L50,NA())</f>
        <v>#N/A</v>
      </c>
      <c r="AC50" s="29" t="str">
        <f>IF(A50&lt;('2. Inputs and results'!$B$21+1),AC49+(C50+Y50-$V$6)," ")</f>
        <v xml:space="preserve"> </v>
      </c>
      <c r="AD50" s="20" t="e">
        <f>IF(A50&lt;('2. Inputs and results'!$B$21+1),AC50/L50,NA())</f>
        <v>#N/A</v>
      </c>
      <c r="AE50" t="str">
        <f>IF(A50&lt;('2. Inputs and results'!$B$21+1),-'2. Inputs and results'!$B$121*A50," ")</f>
        <v xml:space="preserve"> </v>
      </c>
      <c r="AF50" t="e">
        <f>IF(A50&lt;('2. Inputs and results'!$B$21+1),AE50/1000,NA())</f>
        <v>#N/A</v>
      </c>
    </row>
    <row r="51" spans="1:32" x14ac:dyDescent="0.25">
      <c r="A51">
        <f t="shared" si="0"/>
        <v>46</v>
      </c>
      <c r="B51" t="str">
        <f>IF(A51&lt;('2. Inputs and results'!$B$21+1),A51," ")</f>
        <v xml:space="preserve"> </v>
      </c>
      <c r="C51" s="4" t="str">
        <f>IF(A51&lt;('2. Inputs and results'!$B$21+1),'2. Inputs and results'!$B$99+'2. Inputs and results'!$B$101," ")</f>
        <v xml:space="preserve"> </v>
      </c>
      <c r="D51" s="4" t="e">
        <f>IF(A51&lt;('2. Inputs and results'!$B$21+1),D50+C51,NA())</f>
        <v>#N/A</v>
      </c>
      <c r="E51" s="4" t="str">
        <f>IF(B51&lt;('2. Inputs and results'!$B$21+1),C51/((1+$P$2)^A51)," ")</f>
        <v xml:space="preserve"> </v>
      </c>
      <c r="F51" s="4" t="str">
        <f>IF(A51&lt;('2. Inputs and results'!$B$21+1),F50+E51," ")</f>
        <v xml:space="preserve"> </v>
      </c>
      <c r="G51" s="4" t="str">
        <f>IF(A51&lt;('2. Inputs and results'!$B$21+1),G50*(1+'2. Inputs and results'!$B$44)," ")</f>
        <v xml:space="preserve"> </v>
      </c>
      <c r="H51" s="4" t="str">
        <f>IF(A51&lt;('2. Inputs and results'!$B$21+1),H50*(1+'2. Inputs and results'!$B$56)," ")</f>
        <v xml:space="preserve"> </v>
      </c>
      <c r="I51" s="4" t="str">
        <f>IF(A51&lt;('2. Inputs and results'!$B$21+1),I50*(1+'2. Inputs and results'!$B$32)," ")</f>
        <v xml:space="preserve"> </v>
      </c>
      <c r="J51" s="4" t="str">
        <f>IF(A51&lt;('2. Inputs and results'!$B$21+1),J50*(1+'2. Inputs and results'!$B$66)," ")</f>
        <v xml:space="preserve"> </v>
      </c>
      <c r="K51" s="4" t="e">
        <f>IF('Solution 1, (hidden)'!A51&lt;('2. Inputs and results'!$B$21+1),K50+(G51+I51+H51+J51),NA())</f>
        <v>#N/A</v>
      </c>
      <c r="L51" s="4" t="e">
        <f>IF(A51&lt;('2. Inputs and results'!$B$21+1),L50,NA())</f>
        <v>#N/A</v>
      </c>
      <c r="M51" s="4" t="str">
        <f>IF(A51&lt;('2. Inputs and results'!$B$21+1),'2. Inputs and results'!$B$75*'2. Inputs and results'!$B$73," ")</f>
        <v xml:space="preserve"> </v>
      </c>
      <c r="N51" s="4" t="str">
        <f>IF(A51&lt;('2. Inputs and results'!$B$21+1),M51/((1+$P$2)^A51)," ")</f>
        <v xml:space="preserve"> </v>
      </c>
      <c r="O51" s="4" t="str">
        <f>IF(A51&lt;('2. Inputs and results'!$B$21+1),'2. Inputs and results'!$B$73*'2. Inputs and results'!$B$75+O50," ")</f>
        <v xml:space="preserve"> </v>
      </c>
      <c r="P51" s="4" t="str">
        <f>IF(A51&lt;('2. Inputs and results'!$B$21+1),(G51+I51+H51+J51)/((1+$P$2)^A51)," ")</f>
        <v xml:space="preserve"> </v>
      </c>
      <c r="Q51" s="4" t="str">
        <f>IF(A51&lt;('2. Inputs and results'!$B$21+1),Q50+P51," ")</f>
        <v xml:space="preserve"> </v>
      </c>
      <c r="R51" s="4" t="e">
        <f>IF(A51&lt;('2. Inputs and results'!$B$21+1),R50+G51+I51+J51+H51+T51-$V$6,NA())</f>
        <v>#N/A</v>
      </c>
      <c r="S51" s="4" t="str">
        <f>IF(A51&lt;('2. Inputs and results'!$B$21+1),'2. Inputs and results'!$B$79*(R50)," ")</f>
        <v xml:space="preserve"> </v>
      </c>
      <c r="T51" s="4">
        <f t="shared" si="1"/>
        <v>0</v>
      </c>
      <c r="U51" s="4" t="e">
        <f>IF(A51&lt;('2. Inputs and results'!$B$21+1),U50+(T51+I51+G51+H51+J51-$V$6)/((1+$P$2)^A51),NA())</f>
        <v>#N/A</v>
      </c>
      <c r="V51" s="4" t="str">
        <f>IF(A51&lt;('2. Inputs and results'!$B$21+1),V50+('2. Inputs and results'!$B$75*'2. Inputs and results'!$B$73)," ")</f>
        <v xml:space="preserve"> </v>
      </c>
      <c r="W51" s="4" t="e">
        <f>IF(A51&lt;('2. Inputs and results'!$B$21+1),W50+C51+Y51-$V$6,NA())</f>
        <v>#N/A</v>
      </c>
      <c r="X51" s="4" t="str">
        <f>IF(A51&lt;('2. Inputs and results'!$B$21+1),'2. Inputs and results'!$B$79*W50," ")</f>
        <v xml:space="preserve"> </v>
      </c>
      <c r="Y51" s="4">
        <f t="shared" si="2"/>
        <v>0</v>
      </c>
      <c r="Z51" s="4" t="e">
        <f>IF(A51&lt;('2. Inputs and results'!$B$21+1),Z50+(C51-$V$6+Y51)/((1+$P$2)^A51),NA())</f>
        <v>#N/A</v>
      </c>
      <c r="AA51" s="4" t="str">
        <f>IF(A51&lt;('2. Inputs and results'!$B$21+1),AA50+(G51+I51+H51+T51-$V$6)," ")</f>
        <v xml:space="preserve"> </v>
      </c>
      <c r="AB51" s="20" t="e">
        <f>IF(A51&lt;('2. Inputs and results'!$B$21+1),AA51/L51,NA())</f>
        <v>#N/A</v>
      </c>
      <c r="AC51" s="29" t="str">
        <f>IF(A51&lt;('2. Inputs and results'!$B$21+1),AC50+(C51+Y51-$V$6)," ")</f>
        <v xml:space="preserve"> </v>
      </c>
      <c r="AD51" s="20" t="e">
        <f>IF(A51&lt;('2. Inputs and results'!$B$21+1),AC51/L51,NA())</f>
        <v>#N/A</v>
      </c>
      <c r="AE51" t="str">
        <f>IF(A51&lt;('2. Inputs and results'!$B$21+1),-'2. Inputs and results'!$B$121*A51," ")</f>
        <v xml:space="preserve"> </v>
      </c>
      <c r="AF51" t="e">
        <f>IF(A51&lt;('2. Inputs and results'!$B$21+1),AE51/1000,NA())</f>
        <v>#N/A</v>
      </c>
    </row>
    <row r="52" spans="1:32" x14ac:dyDescent="0.25">
      <c r="A52">
        <f t="shared" si="0"/>
        <v>47</v>
      </c>
      <c r="B52" t="str">
        <f>IF(A52&lt;('2. Inputs and results'!$B$21+1),A52," ")</f>
        <v xml:space="preserve"> </v>
      </c>
      <c r="C52" s="4" t="str">
        <f>IF(A52&lt;('2. Inputs and results'!$B$21+1),'2. Inputs and results'!$B$99+'2. Inputs and results'!$B$101," ")</f>
        <v xml:space="preserve"> </v>
      </c>
      <c r="D52" s="4" t="e">
        <f>IF(A52&lt;('2. Inputs and results'!$B$21+1),D51+C52,NA())</f>
        <v>#N/A</v>
      </c>
      <c r="E52" s="4" t="str">
        <f>IF(B52&lt;('2. Inputs and results'!$B$21+1),C52/((1+$P$2)^A52)," ")</f>
        <v xml:space="preserve"> </v>
      </c>
      <c r="F52" s="4" t="str">
        <f>IF(A52&lt;('2. Inputs and results'!$B$21+1),F51+E52," ")</f>
        <v xml:space="preserve"> </v>
      </c>
      <c r="G52" s="4" t="str">
        <f>IF(A52&lt;('2. Inputs and results'!$B$21+1),G51*(1+'2. Inputs and results'!$B$44)," ")</f>
        <v xml:space="preserve"> </v>
      </c>
      <c r="H52" s="4" t="str">
        <f>IF(A52&lt;('2. Inputs and results'!$B$21+1),H51*(1+'2. Inputs and results'!$B$56)," ")</f>
        <v xml:space="preserve"> </v>
      </c>
      <c r="I52" s="4" t="str">
        <f>IF(A52&lt;('2. Inputs and results'!$B$21+1),I51*(1+'2. Inputs and results'!$B$32)," ")</f>
        <v xml:space="preserve"> </v>
      </c>
      <c r="J52" s="4" t="str">
        <f>IF(A52&lt;('2. Inputs and results'!$B$21+1),J51*(1+'2. Inputs and results'!$B$66)," ")</f>
        <v xml:space="preserve"> </v>
      </c>
      <c r="K52" s="4" t="e">
        <f>IF('Solution 1, (hidden)'!A52&lt;('2. Inputs and results'!$B$21+1),K51+(G52+I52+H52+J52),NA())</f>
        <v>#N/A</v>
      </c>
      <c r="L52" s="4" t="e">
        <f>IF(A52&lt;('2. Inputs and results'!$B$21+1),L51,NA())</f>
        <v>#N/A</v>
      </c>
      <c r="M52" s="4" t="str">
        <f>IF(A52&lt;('2. Inputs and results'!$B$21+1),'2. Inputs and results'!$B$75*'2. Inputs and results'!$B$73," ")</f>
        <v xml:space="preserve"> </v>
      </c>
      <c r="N52" s="4" t="str">
        <f>IF(A52&lt;('2. Inputs and results'!$B$21+1),M52/((1+$P$2)^A52)," ")</f>
        <v xml:space="preserve"> </v>
      </c>
      <c r="O52" s="4" t="str">
        <f>IF(A52&lt;('2. Inputs and results'!$B$21+1),'2. Inputs and results'!$B$73*'2. Inputs and results'!$B$75+O51," ")</f>
        <v xml:space="preserve"> </v>
      </c>
      <c r="P52" s="4" t="str">
        <f>IF(A52&lt;('2. Inputs and results'!$B$21+1),(G52+I52+H52+J52)/((1+$P$2)^A52)," ")</f>
        <v xml:space="preserve"> </v>
      </c>
      <c r="Q52" s="4" t="str">
        <f>IF(A52&lt;('2. Inputs and results'!$B$21+1),Q51+P52," ")</f>
        <v xml:space="preserve"> </v>
      </c>
      <c r="R52" s="4" t="e">
        <f>IF(A52&lt;('2. Inputs and results'!$B$21+1),R51+G52+I52+J52+H52+T52-$V$6,NA())</f>
        <v>#N/A</v>
      </c>
      <c r="S52" s="4" t="str">
        <f>IF(A52&lt;('2. Inputs and results'!$B$21+1),'2. Inputs and results'!$B$79*(R51)," ")</f>
        <v xml:space="preserve"> </v>
      </c>
      <c r="T52" s="4">
        <f t="shared" si="1"/>
        <v>0</v>
      </c>
      <c r="U52" s="4" t="e">
        <f>IF(A52&lt;('2. Inputs and results'!$B$21+1),U51+(T52+I52+G52+H52+J52-$V$6)/((1+$P$2)^A52),NA())</f>
        <v>#N/A</v>
      </c>
      <c r="V52" s="4" t="str">
        <f>IF(A52&lt;('2. Inputs and results'!$B$21+1),V51+('2. Inputs and results'!$B$75*'2. Inputs and results'!$B$73)," ")</f>
        <v xml:space="preserve"> </v>
      </c>
      <c r="W52" s="4" t="e">
        <f>IF(A52&lt;('2. Inputs and results'!$B$21+1),W51+C52+Y52-$V$6,NA())</f>
        <v>#N/A</v>
      </c>
      <c r="X52" s="4" t="str">
        <f>IF(A52&lt;('2. Inputs and results'!$B$21+1),'2. Inputs and results'!$B$79*W51," ")</f>
        <v xml:space="preserve"> </v>
      </c>
      <c r="Y52" s="4">
        <f t="shared" si="2"/>
        <v>0</v>
      </c>
      <c r="Z52" s="4" t="e">
        <f>IF(A52&lt;('2. Inputs and results'!$B$21+1),Z51+(C52-$V$6+Y52)/((1+$P$2)^A52),NA())</f>
        <v>#N/A</v>
      </c>
      <c r="AA52" s="4" t="str">
        <f>IF(A52&lt;('2. Inputs and results'!$B$21+1),AA51+(G52+I52+H52+T52-$V$6)," ")</f>
        <v xml:space="preserve"> </v>
      </c>
      <c r="AB52" s="20" t="e">
        <f>IF(A52&lt;('2. Inputs and results'!$B$21+1),AA52/L52,NA())</f>
        <v>#N/A</v>
      </c>
      <c r="AC52" s="29" t="str">
        <f>IF(A52&lt;('2. Inputs and results'!$B$21+1),AC51+(C52+Y52-$V$6)," ")</f>
        <v xml:space="preserve"> </v>
      </c>
      <c r="AD52" s="20" t="e">
        <f>IF(A52&lt;('2. Inputs and results'!$B$21+1),AC52/L52,NA())</f>
        <v>#N/A</v>
      </c>
      <c r="AE52" t="str">
        <f>IF(A52&lt;('2. Inputs and results'!$B$21+1),-'2. Inputs and results'!$B$121*A52," ")</f>
        <v xml:space="preserve"> </v>
      </c>
      <c r="AF52" t="e">
        <f>IF(A52&lt;('2. Inputs and results'!$B$21+1),AE52/1000,NA())</f>
        <v>#N/A</v>
      </c>
    </row>
    <row r="53" spans="1:32" x14ac:dyDescent="0.25">
      <c r="A53">
        <f t="shared" si="0"/>
        <v>48</v>
      </c>
      <c r="B53" t="str">
        <f>IF(A53&lt;('2. Inputs and results'!$B$21+1),A53," ")</f>
        <v xml:space="preserve"> </v>
      </c>
      <c r="C53" s="4" t="str">
        <f>IF(A53&lt;('2. Inputs and results'!$B$21+1),'2. Inputs and results'!$B$99+'2. Inputs and results'!$B$101," ")</f>
        <v xml:space="preserve"> </v>
      </c>
      <c r="D53" s="4" t="e">
        <f>IF(A53&lt;('2. Inputs and results'!$B$21+1),D52+C53,NA())</f>
        <v>#N/A</v>
      </c>
      <c r="E53" s="4" t="str">
        <f>IF(B53&lt;('2. Inputs and results'!$B$21+1),C53/((1+$P$2)^A53)," ")</f>
        <v xml:space="preserve"> </v>
      </c>
      <c r="F53" s="4" t="str">
        <f>IF(A53&lt;('2. Inputs and results'!$B$21+1),F52+E53," ")</f>
        <v xml:space="preserve"> </v>
      </c>
      <c r="G53" s="4" t="str">
        <f>IF(A53&lt;('2. Inputs and results'!$B$21+1),G52*(1+'2. Inputs and results'!$B$44)," ")</f>
        <v xml:space="preserve"> </v>
      </c>
      <c r="H53" s="4" t="str">
        <f>IF(A53&lt;('2. Inputs and results'!$B$21+1),H52*(1+'2. Inputs and results'!$B$56)," ")</f>
        <v xml:space="preserve"> </v>
      </c>
      <c r="I53" s="4" t="str">
        <f>IF(A53&lt;('2. Inputs and results'!$B$21+1),I52*(1+'2. Inputs and results'!$B$32)," ")</f>
        <v xml:space="preserve"> </v>
      </c>
      <c r="J53" s="4" t="str">
        <f>IF(A53&lt;('2. Inputs and results'!$B$21+1),J52*(1+'2. Inputs and results'!$B$66)," ")</f>
        <v xml:space="preserve"> </v>
      </c>
      <c r="K53" s="4" t="e">
        <f>IF('Solution 1, (hidden)'!A53&lt;('2. Inputs and results'!$B$21+1),K52+(G53+I53+H53+J53),NA())</f>
        <v>#N/A</v>
      </c>
      <c r="L53" s="4" t="e">
        <f>IF(A53&lt;('2. Inputs and results'!$B$21+1),L52,NA())</f>
        <v>#N/A</v>
      </c>
      <c r="M53" s="4" t="str">
        <f>IF(A53&lt;('2. Inputs and results'!$B$21+1),'2. Inputs and results'!$B$75*'2. Inputs and results'!$B$73," ")</f>
        <v xml:space="preserve"> </v>
      </c>
      <c r="N53" s="4" t="str">
        <f>IF(A53&lt;('2. Inputs and results'!$B$21+1),M53/((1+$P$2)^A53)," ")</f>
        <v xml:space="preserve"> </v>
      </c>
      <c r="O53" s="4" t="str">
        <f>IF(A53&lt;('2. Inputs and results'!$B$21+1),'2. Inputs and results'!$B$73*'2. Inputs and results'!$B$75+O52," ")</f>
        <v xml:space="preserve"> </v>
      </c>
      <c r="P53" s="4" t="str">
        <f>IF(A53&lt;('2. Inputs and results'!$B$21+1),(G53+I53+H53+J53)/((1+$P$2)^A53)," ")</f>
        <v xml:space="preserve"> </v>
      </c>
      <c r="Q53" s="4" t="str">
        <f>IF(A53&lt;('2. Inputs and results'!$B$21+1),Q52+P53," ")</f>
        <v xml:space="preserve"> </v>
      </c>
      <c r="R53" s="4" t="e">
        <f>IF(A53&lt;('2. Inputs and results'!$B$21+1),R52+G53+I53+J53+H53+T53-$V$6,NA())</f>
        <v>#N/A</v>
      </c>
      <c r="S53" s="4" t="str">
        <f>IF(A53&lt;('2. Inputs and results'!$B$21+1),'2. Inputs and results'!$B$79*(R52)," ")</f>
        <v xml:space="preserve"> </v>
      </c>
      <c r="T53" s="4">
        <f t="shared" si="1"/>
        <v>0</v>
      </c>
      <c r="U53" s="4" t="e">
        <f>IF(A53&lt;('2. Inputs and results'!$B$21+1),U52+(T53+I53+G53+H53+J53-$V$6)/((1+$P$2)^A53),NA())</f>
        <v>#N/A</v>
      </c>
      <c r="V53" s="4" t="str">
        <f>IF(A53&lt;('2. Inputs and results'!$B$21+1),V52+('2. Inputs and results'!$B$75*'2. Inputs and results'!$B$73)," ")</f>
        <v xml:space="preserve"> </v>
      </c>
      <c r="W53" s="4" t="e">
        <f>IF(A53&lt;('2. Inputs and results'!$B$21+1),W52+C53+Y53-$V$6,NA())</f>
        <v>#N/A</v>
      </c>
      <c r="X53" s="4" t="str">
        <f>IF(A53&lt;('2. Inputs and results'!$B$21+1),'2. Inputs and results'!$B$79*W52," ")</f>
        <v xml:space="preserve"> </v>
      </c>
      <c r="Y53" s="4">
        <f t="shared" si="2"/>
        <v>0</v>
      </c>
      <c r="Z53" s="4" t="e">
        <f>IF(A53&lt;('2. Inputs and results'!$B$21+1),Z52+(C53-$V$6+Y53)/((1+$P$2)^A53),NA())</f>
        <v>#N/A</v>
      </c>
      <c r="AA53" s="4" t="str">
        <f>IF(A53&lt;('2. Inputs and results'!$B$21+1),AA52+(G53+I53+H53+T53-$V$6)," ")</f>
        <v xml:space="preserve"> </v>
      </c>
      <c r="AB53" s="20" t="e">
        <f>IF(A53&lt;('2. Inputs and results'!$B$21+1),AA53/L53,NA())</f>
        <v>#N/A</v>
      </c>
      <c r="AC53" s="29" t="str">
        <f>IF(A53&lt;('2. Inputs and results'!$B$21+1),AC52+(C53+Y53-$V$6)," ")</f>
        <v xml:space="preserve"> </v>
      </c>
      <c r="AD53" s="20" t="e">
        <f>IF(A53&lt;('2. Inputs and results'!$B$21+1),AC53/L53,NA())</f>
        <v>#N/A</v>
      </c>
      <c r="AE53" t="str">
        <f>IF(A53&lt;('2. Inputs and results'!$B$21+1),-'2. Inputs and results'!$B$121*A53," ")</f>
        <v xml:space="preserve"> </v>
      </c>
      <c r="AF53" t="e">
        <f>IF(A53&lt;('2. Inputs and results'!$B$21+1),AE53/1000,NA())</f>
        <v>#N/A</v>
      </c>
    </row>
    <row r="54" spans="1:32" x14ac:dyDescent="0.25">
      <c r="A54">
        <f t="shared" si="0"/>
        <v>49</v>
      </c>
      <c r="B54" t="str">
        <f>IF(A54&lt;('2. Inputs and results'!$B$21+1),A54," ")</f>
        <v xml:space="preserve"> </v>
      </c>
      <c r="C54" s="4" t="str">
        <f>IF(A54&lt;('2. Inputs and results'!$B$21+1),'2. Inputs and results'!$B$99+'2. Inputs and results'!$B$101," ")</f>
        <v xml:space="preserve"> </v>
      </c>
      <c r="D54" s="4" t="e">
        <f>IF(A54&lt;('2. Inputs and results'!$B$21+1),D53+C54,NA())</f>
        <v>#N/A</v>
      </c>
      <c r="E54" s="4" t="str">
        <f>IF(B54&lt;('2. Inputs and results'!$B$21+1),C54/((1+$P$2)^A54)," ")</f>
        <v xml:space="preserve"> </v>
      </c>
      <c r="F54" s="4" t="str">
        <f>IF(A54&lt;('2. Inputs and results'!$B$21+1),F53+E54," ")</f>
        <v xml:space="preserve"> </v>
      </c>
      <c r="G54" s="4" t="str">
        <f>IF(A54&lt;('2. Inputs and results'!$B$21+1),G53*(1+'2. Inputs and results'!$B$44)," ")</f>
        <v xml:space="preserve"> </v>
      </c>
      <c r="H54" s="4" t="str">
        <f>IF(A54&lt;('2. Inputs and results'!$B$21+1),H53*(1+'2. Inputs and results'!$B$56)," ")</f>
        <v xml:space="preserve"> </v>
      </c>
      <c r="I54" s="4" t="str">
        <f>IF(A54&lt;('2. Inputs and results'!$B$21+1),I53*(1+'2. Inputs and results'!$B$32)," ")</f>
        <v xml:space="preserve"> </v>
      </c>
      <c r="J54" s="4" t="str">
        <f>IF(A54&lt;('2. Inputs and results'!$B$21+1),J53*(1+'2. Inputs and results'!$B$66)," ")</f>
        <v xml:space="preserve"> </v>
      </c>
      <c r="K54" s="4" t="e">
        <f>IF('Solution 1, (hidden)'!A54&lt;('2. Inputs and results'!$B$21+1),K53+(G54+I54+H54+J54),NA())</f>
        <v>#N/A</v>
      </c>
      <c r="L54" s="4" t="e">
        <f>IF(A54&lt;('2. Inputs and results'!$B$21+1),L53,NA())</f>
        <v>#N/A</v>
      </c>
      <c r="M54" s="4" t="str">
        <f>IF(A54&lt;('2. Inputs and results'!$B$21+1),'2. Inputs and results'!$B$75*'2. Inputs and results'!$B$73," ")</f>
        <v xml:space="preserve"> </v>
      </c>
      <c r="N54" s="4" t="str">
        <f>IF(A54&lt;('2. Inputs and results'!$B$21+1),M54/((1+$P$2)^A54)," ")</f>
        <v xml:space="preserve"> </v>
      </c>
      <c r="O54" s="4" t="str">
        <f>IF(A54&lt;('2. Inputs and results'!$B$21+1),'2. Inputs and results'!$B$73*'2. Inputs and results'!$B$75+O53," ")</f>
        <v xml:space="preserve"> </v>
      </c>
      <c r="P54" s="4" t="str">
        <f>IF(A54&lt;('2. Inputs and results'!$B$21+1),(G54+I54+H54+J54)/((1+$P$2)^A54)," ")</f>
        <v xml:space="preserve"> </v>
      </c>
      <c r="Q54" s="4" t="str">
        <f>IF(A54&lt;('2. Inputs and results'!$B$21+1),Q53+P54," ")</f>
        <v xml:space="preserve"> </v>
      </c>
      <c r="R54" s="4" t="e">
        <f>IF(A54&lt;('2. Inputs and results'!$B$21+1),R53+G54+I54+J54+H54+T54-$V$6,NA())</f>
        <v>#N/A</v>
      </c>
      <c r="S54" s="4" t="str">
        <f>IF(A54&lt;('2. Inputs and results'!$B$21+1),'2. Inputs and results'!$B$79*(R53)," ")</f>
        <v xml:space="preserve"> </v>
      </c>
      <c r="T54" s="4">
        <f t="shared" si="1"/>
        <v>0</v>
      </c>
      <c r="U54" s="4" t="e">
        <f>IF(A54&lt;('2. Inputs and results'!$B$21+1),U53+(T54+I54+G54+H54+J54-$V$6)/((1+$P$2)^A54),NA())</f>
        <v>#N/A</v>
      </c>
      <c r="V54" s="4" t="str">
        <f>IF(A54&lt;('2. Inputs and results'!$B$21+1),V53+('2. Inputs and results'!$B$75*'2. Inputs and results'!$B$73)," ")</f>
        <v xml:space="preserve"> </v>
      </c>
      <c r="W54" s="4" t="e">
        <f>IF(A54&lt;('2. Inputs and results'!$B$21+1),W53+C54+Y54-$V$6,NA())</f>
        <v>#N/A</v>
      </c>
      <c r="X54" s="4" t="str">
        <f>IF(A54&lt;('2. Inputs and results'!$B$21+1),'2. Inputs and results'!$B$79*W53," ")</f>
        <v xml:space="preserve"> </v>
      </c>
      <c r="Y54" s="4">
        <f t="shared" si="2"/>
        <v>0</v>
      </c>
      <c r="Z54" s="4" t="e">
        <f>IF(A54&lt;('2. Inputs and results'!$B$21+1),Z53+(C54-$V$6+Y54)/((1+$P$2)^A54),NA())</f>
        <v>#N/A</v>
      </c>
      <c r="AA54" s="4" t="str">
        <f>IF(A54&lt;('2. Inputs and results'!$B$21+1),AA53+(G54+I54+H54+T54-$V$6)," ")</f>
        <v xml:space="preserve"> </v>
      </c>
      <c r="AB54" s="20" t="e">
        <f>IF(A54&lt;('2. Inputs and results'!$B$21+1),AA54/L54,NA())</f>
        <v>#N/A</v>
      </c>
      <c r="AC54" s="29" t="str">
        <f>IF(A54&lt;('2. Inputs and results'!$B$21+1),AC53+(C54+Y54-$V$6)," ")</f>
        <v xml:space="preserve"> </v>
      </c>
      <c r="AD54" s="20" t="e">
        <f>IF(A54&lt;('2. Inputs and results'!$B$21+1),AC54/L54,NA())</f>
        <v>#N/A</v>
      </c>
      <c r="AE54" t="str">
        <f>IF(A54&lt;('2. Inputs and results'!$B$21+1),-'2. Inputs and results'!$B$121*A54," ")</f>
        <v xml:space="preserve"> </v>
      </c>
      <c r="AF54" t="e">
        <f>IF(A54&lt;('2. Inputs and results'!$B$21+1),AE54/1000,NA())</f>
        <v>#N/A</v>
      </c>
    </row>
    <row r="55" spans="1:32" x14ac:dyDescent="0.25">
      <c r="A55">
        <f t="shared" si="0"/>
        <v>50</v>
      </c>
      <c r="B55" t="str">
        <f>IF(A55&lt;('2. Inputs and results'!$B$21+1),A55," ")</f>
        <v xml:space="preserve"> </v>
      </c>
      <c r="C55" s="4" t="str">
        <f>IF(A55&lt;('2. Inputs and results'!$B$21+1),'2. Inputs and results'!$B$99+'2. Inputs and results'!$B$101," ")</f>
        <v xml:space="preserve"> </v>
      </c>
      <c r="D55" s="4" t="e">
        <f>IF(A55&lt;('2. Inputs and results'!$B$21+1),D54+C55,NA())</f>
        <v>#N/A</v>
      </c>
      <c r="E55" s="4" t="str">
        <f>IF(B55&lt;('2. Inputs and results'!$B$21+1),C55/((1+$P$2)^A55)," ")</f>
        <v xml:space="preserve"> </v>
      </c>
      <c r="F55" s="4" t="str">
        <f>IF(A55&lt;('2. Inputs and results'!$B$21+1),F54+E55," ")</f>
        <v xml:space="preserve"> </v>
      </c>
      <c r="G55" s="4" t="str">
        <f>IF(A55&lt;('2. Inputs and results'!$B$21+1),G54*(1+'2. Inputs and results'!$B$44)," ")</f>
        <v xml:space="preserve"> </v>
      </c>
      <c r="H55" s="4" t="str">
        <f>IF(A55&lt;('2. Inputs and results'!$B$21+1),H54*(1+'2. Inputs and results'!$B$56)," ")</f>
        <v xml:space="preserve"> </v>
      </c>
      <c r="I55" s="4" t="str">
        <f>IF(A55&lt;('2. Inputs and results'!$B$21+1),I54*(1+'2. Inputs and results'!$B$32)," ")</f>
        <v xml:space="preserve"> </v>
      </c>
      <c r="J55" s="4" t="str">
        <f>IF(A55&lt;('2. Inputs and results'!$B$21+1),J54*(1+'2. Inputs and results'!$B$66)," ")</f>
        <v xml:space="preserve"> </v>
      </c>
      <c r="K55" s="4" t="e">
        <f>IF('Solution 1, (hidden)'!A55&lt;('2. Inputs and results'!$B$21+1),K54+(G55+I55+H55+J55),NA())</f>
        <v>#N/A</v>
      </c>
      <c r="L55" s="4" t="e">
        <f>IF(A55&lt;('2. Inputs and results'!$B$21+1),L54,NA())</f>
        <v>#N/A</v>
      </c>
      <c r="M55" s="4" t="str">
        <f>IF(A55&lt;('2. Inputs and results'!$B$21+1),'2. Inputs and results'!$B$75*'2. Inputs and results'!$B$73," ")</f>
        <v xml:space="preserve"> </v>
      </c>
      <c r="N55" s="4" t="str">
        <f>IF(A55&lt;('2. Inputs and results'!$B$21+1),M55/((1+$P$2)^A55)," ")</f>
        <v xml:space="preserve"> </v>
      </c>
      <c r="O55" s="4" t="str">
        <f>IF(A55&lt;('2. Inputs and results'!$B$21+1),'2. Inputs and results'!$B$73*'2. Inputs and results'!$B$75+O54," ")</f>
        <v xml:space="preserve"> </v>
      </c>
      <c r="P55" s="4" t="str">
        <f>IF(A55&lt;('2. Inputs and results'!$B$21+1),(G55+I55+H55+J55)/((1+$P$2)^A55)," ")</f>
        <v xml:space="preserve"> </v>
      </c>
      <c r="Q55" s="4" t="str">
        <f>IF(A55&lt;('2. Inputs and results'!$B$21+1),Q54+P55," ")</f>
        <v xml:space="preserve"> </v>
      </c>
      <c r="R55" s="4" t="e">
        <f>IF(A55&lt;('2. Inputs and results'!$B$21+1),R54+G55+I55+J55+H55+T55-$V$6,NA())</f>
        <v>#N/A</v>
      </c>
      <c r="S55" s="4" t="str">
        <f>IF(A55&lt;('2. Inputs and results'!$B$21+1),'2. Inputs and results'!$B$79*(R54)," ")</f>
        <v xml:space="preserve"> </v>
      </c>
      <c r="T55" s="4">
        <f t="shared" si="1"/>
        <v>0</v>
      </c>
      <c r="U55" s="4" t="e">
        <f>IF(A55&lt;('2. Inputs and results'!$B$21+1),U54+(T55+I55+G55+H55+J55-$V$6)/((1+$P$2)^A55),NA())</f>
        <v>#N/A</v>
      </c>
      <c r="V55" s="4" t="str">
        <f>IF(A55&lt;('2. Inputs and results'!$B$21+1),V54+('2. Inputs and results'!$B$75*'2. Inputs and results'!$B$73)," ")</f>
        <v xml:space="preserve"> </v>
      </c>
      <c r="W55" s="4" t="e">
        <f>IF(A55&lt;('2. Inputs and results'!$B$21+1),W54+C55+Y55-$V$6,NA())</f>
        <v>#N/A</v>
      </c>
      <c r="X55" s="4" t="str">
        <f>IF(A55&lt;('2. Inputs and results'!$B$21+1),'2. Inputs and results'!$B$79*W54," ")</f>
        <v xml:space="preserve"> </v>
      </c>
      <c r="Y55" s="4">
        <f t="shared" si="2"/>
        <v>0</v>
      </c>
      <c r="Z55" s="4" t="e">
        <f>IF(A55&lt;('2. Inputs and results'!$B$21+1),Z54+(C55-$V$6+Y55)/((1+$P$2)^A55),NA())</f>
        <v>#N/A</v>
      </c>
      <c r="AA55" s="4" t="str">
        <f>IF(A55&lt;('2. Inputs and results'!$B$21+1),AA54+(G55+I55+H55+T55-$V$6)," ")</f>
        <v xml:space="preserve"> </v>
      </c>
      <c r="AB55" s="20" t="e">
        <f>IF(A55&lt;('2. Inputs and results'!$B$21+1),AA55/L55,NA())</f>
        <v>#N/A</v>
      </c>
      <c r="AC55" s="29" t="str">
        <f>IF(A55&lt;('2. Inputs and results'!$B$21+1),AC54+(C55+Y55-$V$6)," ")</f>
        <v xml:space="preserve"> </v>
      </c>
      <c r="AD55" s="20" t="e">
        <f>IF(A55&lt;('2. Inputs and results'!$B$21+1),AC55/L55,NA())</f>
        <v>#N/A</v>
      </c>
      <c r="AE55" t="str">
        <f>IF(A55&lt;('2. Inputs and results'!$B$21+1),-'2. Inputs and results'!$B$121*A55," ")</f>
        <v xml:space="preserve"> </v>
      </c>
      <c r="AF55" t="e">
        <f>IF(A55&lt;('2. Inputs and results'!$B$21+1),AE55/1000,NA())</f>
        <v>#N/A</v>
      </c>
    </row>
    <row r="56" spans="1:32" x14ac:dyDescent="0.25">
      <c r="H56" s="4"/>
      <c r="J56" s="4"/>
      <c r="K56" s="4"/>
      <c r="P56" s="4"/>
    </row>
    <row r="57" spans="1:32" x14ac:dyDescent="0.25">
      <c r="H57" s="4"/>
      <c r="K57" s="4"/>
    </row>
    <row r="58" spans="1:32" x14ac:dyDescent="0.25">
      <c r="K58" s="4"/>
    </row>
    <row r="59" spans="1:32" x14ac:dyDescent="0.25">
      <c r="K59" s="4"/>
    </row>
    <row r="60" spans="1:32" x14ac:dyDescent="0.25">
      <c r="K60" s="4"/>
    </row>
  </sheetData>
  <sheetProtection sheet="1" objects="1" scenarios="1"/>
  <conditionalFormatting sqref="H56:H57 K56:K60 J56 A5:AF6 A7:O55 P7:P56 Q7:AF55">
    <cfRule type="cellIs" dxfId="21" priority="3" operator="equal">
      <formula>#N/A</formula>
    </cfRule>
    <cfRule type="cellIs" dxfId="20" priority="7" operator="equal">
      <formula>#N/A</formula>
    </cfRule>
    <cfRule type="cellIs" dxfId="19" priority="8" operator="equal">
      <formula>#N/A</formula>
    </cfRule>
  </conditionalFormatting>
  <conditionalFormatting sqref="D5:D55">
    <cfRule type="expression" dxfId="18" priority="5">
      <formula>#N/A</formula>
    </cfRule>
    <cfRule type="cellIs" dxfId="17" priority="6" operator="equal">
      <formula>#N/A</formula>
    </cfRule>
  </conditionalFormatting>
  <conditionalFormatting sqref="H56:H57 K56:K60 J56 A4:S6 A7:O55 P7:P56 Q7:S55">
    <cfRule type="cellIs" dxfId="16" priority="4" operator="equal">
      <formula>"PUUTTUU()"</formula>
    </cfRule>
  </conditionalFormatting>
  <conditionalFormatting sqref="H56:H57 K56:K60 J56 A4:AF6 A7:O55 P7:P56 Q7:AF55">
    <cfRule type="containsErrors" dxfId="15" priority="1">
      <formula>ISERROR(A4)</formula>
    </cfRule>
    <cfRule type="containsText" dxfId="14" priority="2" operator="containsText" text="#PUUTTUU!">
      <formula>NOT(ISERROR(SEARCH("#PUUTTUU!",A4)))</formula>
    </cfRule>
  </conditionalFormatting>
  <pageMargins left="0.7" right="0.7" top="0.75" bottom="0.75" header="0.3" footer="0.3"/>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5">
    <pageSetUpPr fitToPage="1"/>
  </sheetPr>
  <dimension ref="A1:AF56"/>
  <sheetViews>
    <sheetView topLeftCell="U1" zoomScaleNormal="100" workbookViewId="0">
      <selection activeCell="V55" sqref="V55"/>
    </sheetView>
  </sheetViews>
  <sheetFormatPr defaultRowHeight="15" x14ac:dyDescent="0.25"/>
  <cols>
    <col min="1" max="2" width="27.42578125" customWidth="1"/>
    <col min="3" max="3" width="36.5703125" customWidth="1"/>
    <col min="4" max="4" width="34.85546875" customWidth="1"/>
    <col min="5" max="5" width="37.5703125" customWidth="1"/>
    <col min="6" max="6" width="44.140625" customWidth="1"/>
    <col min="7" max="8" width="24.85546875" customWidth="1"/>
    <col min="9" max="9" width="26.42578125" customWidth="1"/>
    <col min="10" max="10" width="26.42578125" style="39"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x14ac:dyDescent="0.25">
      <c r="K1" s="11"/>
      <c r="P1" s="5"/>
      <c r="S1" s="11"/>
      <c r="T1" s="11"/>
      <c r="U1" s="15"/>
      <c r="V1" s="11"/>
      <c r="Z1" s="6" t="s">
        <v>38</v>
      </c>
      <c r="AA1" s="6"/>
      <c r="AB1" s="6"/>
      <c r="AC1" s="6"/>
      <c r="AD1" s="6"/>
    </row>
    <row r="2" spans="1:32" x14ac:dyDescent="0.25">
      <c r="O2" s="6" t="s">
        <v>12</v>
      </c>
      <c r="P2" s="14">
        <f>'2. Inputs and results'!C81</f>
        <v>0.04</v>
      </c>
      <c r="R2" s="15" t="s">
        <v>73</v>
      </c>
      <c r="S2" s="15"/>
      <c r="T2" s="15"/>
      <c r="U2" s="15"/>
      <c r="V2" s="15"/>
      <c r="W2" s="15" t="s">
        <v>73</v>
      </c>
      <c r="X2" s="15"/>
      <c r="Y2" s="15"/>
      <c r="Z2" s="15"/>
      <c r="AA2" s="15"/>
      <c r="AB2" s="15"/>
      <c r="AC2" s="15"/>
      <c r="AD2" s="15"/>
    </row>
    <row r="3" spans="1:32" x14ac:dyDescent="0.25">
      <c r="G3" s="25" t="s">
        <v>28</v>
      </c>
      <c r="H3" s="25"/>
      <c r="I3" s="11"/>
      <c r="J3" s="11"/>
      <c r="K3" s="11"/>
      <c r="R3" s="15"/>
      <c r="S3" s="15"/>
      <c r="T3" s="15"/>
      <c r="V3" s="15"/>
      <c r="W3" s="15"/>
      <c r="X3" s="15"/>
      <c r="Y3" s="15"/>
      <c r="AA3" t="s">
        <v>156</v>
      </c>
      <c r="AB3" t="s">
        <v>156</v>
      </c>
      <c r="AC3" t="s">
        <v>156</v>
      </c>
      <c r="AD3" t="s">
        <v>156</v>
      </c>
      <c r="AE3" t="s">
        <v>31</v>
      </c>
    </row>
    <row r="4" spans="1:32" x14ac:dyDescent="0.25">
      <c r="A4" t="s">
        <v>0</v>
      </c>
      <c r="C4" s="7" t="s">
        <v>153</v>
      </c>
      <c r="D4" s="7" t="s">
        <v>27</v>
      </c>
      <c r="E4" s="7" t="s">
        <v>59</v>
      </c>
      <c r="F4" s="7" t="s">
        <v>66</v>
      </c>
      <c r="G4" s="12" t="s">
        <v>29</v>
      </c>
      <c r="H4" s="12" t="s">
        <v>103</v>
      </c>
      <c r="I4" s="12" t="s">
        <v>30</v>
      </c>
      <c r="J4" s="12" t="s">
        <v>155</v>
      </c>
      <c r="K4" s="4" t="s">
        <v>13</v>
      </c>
      <c r="L4" s="4" t="s">
        <v>56</v>
      </c>
      <c r="M4" s="4" t="s">
        <v>34</v>
      </c>
      <c r="N4" s="4" t="s">
        <v>46</v>
      </c>
      <c r="O4" s="4" t="s">
        <v>14</v>
      </c>
      <c r="P4" s="4" t="s">
        <v>15</v>
      </c>
      <c r="Q4" s="4" t="s">
        <v>16</v>
      </c>
      <c r="R4" s="16" t="s">
        <v>42</v>
      </c>
      <c r="S4" s="16" t="s">
        <v>36</v>
      </c>
      <c r="T4" s="16" t="s">
        <v>52</v>
      </c>
      <c r="U4" s="16" t="s">
        <v>39</v>
      </c>
      <c r="V4" s="16" t="s">
        <v>34</v>
      </c>
      <c r="W4" s="7" t="s">
        <v>1</v>
      </c>
      <c r="X4" s="7" t="s">
        <v>36</v>
      </c>
      <c r="Y4" s="7" t="s">
        <v>52</v>
      </c>
      <c r="Z4" s="16" t="s">
        <v>40</v>
      </c>
      <c r="AA4" s="16" t="s">
        <v>76</v>
      </c>
      <c r="AB4" s="15" t="s">
        <v>44</v>
      </c>
      <c r="AC4" s="15" t="s">
        <v>77</v>
      </c>
      <c r="AD4" s="15" t="s">
        <v>43</v>
      </c>
      <c r="AE4" t="s">
        <v>33</v>
      </c>
      <c r="AF4" t="s">
        <v>32</v>
      </c>
    </row>
    <row r="5" spans="1:32" x14ac:dyDescent="0.25">
      <c r="A5">
        <v>0</v>
      </c>
      <c r="B5">
        <f>IF(A5&lt;('2. Inputs and results'!$C$21+1),A5," ")</f>
        <v>0</v>
      </c>
      <c r="C5" s="4">
        <v>0</v>
      </c>
      <c r="D5" s="4">
        <f>C5</f>
        <v>0</v>
      </c>
      <c r="E5" s="4"/>
      <c r="F5" s="4"/>
      <c r="G5" s="4">
        <v>0</v>
      </c>
      <c r="H5" s="4">
        <v>0</v>
      </c>
      <c r="I5" s="4">
        <v>0</v>
      </c>
      <c r="J5" s="4">
        <v>0</v>
      </c>
      <c r="K5" s="4">
        <f>G5+I5+H5</f>
        <v>0</v>
      </c>
      <c r="L5" s="4">
        <f>'2. Inputs and results'!$C$73-('2. Inputs and results'!C77*'2. Inputs and results'!C73)</f>
        <v>212500</v>
      </c>
      <c r="M5" s="4"/>
      <c r="N5" s="4"/>
      <c r="O5" s="4"/>
      <c r="P5" s="4"/>
      <c r="Q5" s="4"/>
      <c r="R5" s="4">
        <f>-L5</f>
        <v>-212500</v>
      </c>
      <c r="S5" s="4"/>
      <c r="T5" s="4"/>
      <c r="U5" s="4">
        <f>R5</f>
        <v>-212500</v>
      </c>
      <c r="V5" s="4"/>
      <c r="W5" s="4">
        <f>-L5</f>
        <v>-212500</v>
      </c>
      <c r="X5" s="4"/>
      <c r="Y5" s="4"/>
      <c r="Z5" s="4">
        <f>W5</f>
        <v>-212500</v>
      </c>
      <c r="AA5" s="4">
        <f>G5+I5+H5+T5-$V$5</f>
        <v>0</v>
      </c>
      <c r="AB5" s="20">
        <f>IF(A5&lt;('2. Inputs and results'!$C$21+1),AA5/L5,NA())</f>
        <v>0</v>
      </c>
      <c r="AC5" s="29">
        <f>C5+Y5-$V$5</f>
        <v>0</v>
      </c>
      <c r="AD5" s="20">
        <f>IF(A5&lt;('2. Inputs and results'!$C$21+1),AC5/L5,NA())</f>
        <v>0</v>
      </c>
      <c r="AE5">
        <f>IF(A5&lt;('2. Inputs and results'!$C$21+1),-'2. Inputs and results'!$C$121*A5," ")</f>
        <v>0</v>
      </c>
      <c r="AF5">
        <f>IF(A5&lt;('2. Inputs and results'!$C$21+1),AE5/1000,NA())</f>
        <v>0</v>
      </c>
    </row>
    <row r="6" spans="1:32" x14ac:dyDescent="0.25">
      <c r="A6">
        <f>A5+1</f>
        <v>1</v>
      </c>
      <c r="B6">
        <f>IF(A6&lt;('2. Inputs and results'!$C$21+1),A6," ")</f>
        <v>1</v>
      </c>
      <c r="C6" s="4">
        <f>IF(A6&lt;('2. Inputs and results'!$C$21+1),'2. Inputs and results'!$C$99+'2. Inputs and results'!$C$101," ")</f>
        <v>24600</v>
      </c>
      <c r="D6" s="4">
        <f>C6</f>
        <v>24600</v>
      </c>
      <c r="E6" s="4">
        <f>IF(A6&lt;('2. Inputs and results'!$C$21+1),C6/((1+$P$2)^A6)," ")</f>
        <v>23653.846153846152</v>
      </c>
      <c r="F6" s="4">
        <f>E6</f>
        <v>23653.846153846152</v>
      </c>
      <c r="G6" s="4">
        <f>'2. Inputs and results'!C93</f>
        <v>45000</v>
      </c>
      <c r="H6" s="4">
        <f>'2. Inputs and results'!C97</f>
        <v>0</v>
      </c>
      <c r="I6" s="4">
        <f>'2. Inputs and results'!C95</f>
        <v>-20400</v>
      </c>
      <c r="J6" s="4">
        <f>'2. Inputs and results'!$C$101</f>
        <v>0</v>
      </c>
      <c r="K6" s="4">
        <f>G6+I6+H6+J6</f>
        <v>24600</v>
      </c>
      <c r="L6" s="4">
        <f>'2. Inputs and results'!$C$73-('2. Inputs and results'!C77*'2. Inputs and results'!C73)</f>
        <v>212500</v>
      </c>
      <c r="M6" s="4">
        <f>IF(A6&lt;('2. Inputs and results'!$C$21+1),'2. Inputs and results'!$C$75*'2. Inputs and results'!$C$73," ")</f>
        <v>2500</v>
      </c>
      <c r="N6" s="4">
        <f>IF(A6&lt;('2. Inputs and results'!$C$21+1),M6/((1+$P$2)^A6)," ")</f>
        <v>2403.8461538461538</v>
      </c>
      <c r="O6" s="4">
        <f>L6</f>
        <v>212500</v>
      </c>
      <c r="P6" s="4">
        <f>IF(A6&lt;('2. Inputs and results'!$C$21+1),(G6+I6+H6+J6)/((1+$P$2)^A6)," ")</f>
        <v>23653.846153846152</v>
      </c>
      <c r="Q6" s="4">
        <f>P6</f>
        <v>23653.846153846152</v>
      </c>
      <c r="R6" s="4">
        <f>-L6+G6+I6+H6+J6+T6-$V$6</f>
        <v>-194650</v>
      </c>
      <c r="S6" s="4">
        <f>IF(A6&lt;('2. Inputs and results'!$C$21+1),'2. Inputs and results'!$C$79*(R5)," ")</f>
        <v>-4250</v>
      </c>
      <c r="T6" s="4">
        <f>IF(S6&lt;0,S6,0)</f>
        <v>-4250</v>
      </c>
      <c r="U6" s="4">
        <f>IF(A6&lt;('2. Inputs and results'!$C$21+1),U5+((G6+I6+H6+J6-$V$6+T6)/((1+$P$2)^A6)),NA())</f>
        <v>-195336.53846153847</v>
      </c>
      <c r="V6" s="4">
        <f>'2. Inputs and results'!$C$75*'2. Inputs and results'!$C$73</f>
        <v>2500</v>
      </c>
      <c r="W6" s="4">
        <f>-L6+C6+Y6-$V$6</f>
        <v>-194650</v>
      </c>
      <c r="X6" s="4">
        <f>IF(A6&lt;('2. Inputs and results'!$C$21+1),'2. Inputs and results'!$C$79*(W5)," ")</f>
        <v>-4250</v>
      </c>
      <c r="Y6" s="4">
        <f>IF(X6&lt;0,X6,0)</f>
        <v>-4250</v>
      </c>
      <c r="Z6" s="4">
        <f>IF(A6&lt;('2. Inputs and results'!$C$21+1),Z5+((C6-$V$6+Y6)/((1+$P$2)^A6)),NA())</f>
        <v>-195336.53846153847</v>
      </c>
      <c r="AA6" s="4">
        <f>IF(A6&lt;('2. Inputs and results'!$C$21+1),AA5+G6+I6+H6+T6-$V$6," ")</f>
        <v>17850</v>
      </c>
      <c r="AB6" s="20">
        <f>IF(A6&lt;('2. Inputs and results'!$C$21+1),AA6/L6,NA())</f>
        <v>8.4000000000000005E-2</v>
      </c>
      <c r="AC6" s="29">
        <f>IF(A6&lt;('2. Inputs and results'!$C$21+1),AC5+C6+Y6-$V$6," ")</f>
        <v>17850</v>
      </c>
      <c r="AD6" s="20">
        <f>IF(A6&lt;('2. Inputs and results'!$C$21+1),AC6/L6,NA())</f>
        <v>8.4000000000000005E-2</v>
      </c>
      <c r="AE6">
        <f>IF(A6&lt;('2. Inputs and results'!$C$21+1),-'2. Inputs and results'!$C$121*A6," ")</f>
        <v>-46000</v>
      </c>
      <c r="AF6">
        <f>IF(A6&lt;('2. Inputs and results'!$C$21+1),AE6/1000,NA())</f>
        <v>-46</v>
      </c>
    </row>
    <row r="7" spans="1:32" x14ac:dyDescent="0.25">
      <c r="A7">
        <f t="shared" ref="A7:A55" si="0">A6+1</f>
        <v>2</v>
      </c>
      <c r="B7">
        <f>IF(A7&lt;('2. Inputs and results'!$C$21+1),A7," ")</f>
        <v>2</v>
      </c>
      <c r="C7" s="4">
        <f>IF(A7&lt;('2. Inputs and results'!$C$21+1),'2. Inputs and results'!$C$99+'2. Inputs and results'!$C$101," ")</f>
        <v>24600</v>
      </c>
      <c r="D7" s="4">
        <f>IF(A7&lt;('2. Inputs and results'!$C$21+1),D6+C7,NA())</f>
        <v>49200</v>
      </c>
      <c r="E7" s="4">
        <f>IF(A7&lt;('2. Inputs and results'!$C$21+1),C7/((1+$P$2)^A7)," ")</f>
        <v>22744.082840236682</v>
      </c>
      <c r="F7" s="4">
        <f>IF(B7&lt;('2. Inputs and results'!$C$21+1),F6+E7," ")</f>
        <v>46397.928994082831</v>
      </c>
      <c r="G7" s="4">
        <f>IF(A7&lt;('2. Inputs and results'!$C$21+1),G6*(1+'2. Inputs and results'!$C$44)," ")</f>
        <v>46350</v>
      </c>
      <c r="H7" s="4">
        <f>IF(A7&lt;('2. Inputs and results'!$C$21+1),H6*(1+'2. Inputs and results'!$C$56)," ")</f>
        <v>0</v>
      </c>
      <c r="I7" s="4">
        <f>IF(A7&lt;('2. Inputs and results'!$C$21+1),I6*(1+'2. Inputs and results'!$C$32)," ")</f>
        <v>-21012</v>
      </c>
      <c r="J7" s="4">
        <f>IF(A7&lt;('2. Inputs and results'!$C$21+1),J6*(1+'2. Inputs and results'!$C$66)," ")</f>
        <v>0</v>
      </c>
      <c r="K7" s="4">
        <f>IF(A7&lt;('2. Inputs and results'!$C$21+1),K6+(G7+I7+H7+J7),NA())</f>
        <v>49938</v>
      </c>
      <c r="L7" s="4">
        <f>IF(A7&lt;('2. Inputs and results'!$C$21+1),L6,NA())</f>
        <v>212500</v>
      </c>
      <c r="M7" s="4">
        <f>IF(A7&lt;('2. Inputs and results'!$C$21+1),'2. Inputs and results'!$C$75*'2. Inputs and results'!$C$73," ")</f>
        <v>2500</v>
      </c>
      <c r="N7" s="4">
        <f>IF(A7&lt;('2. Inputs and results'!$C$21+1),M7/((1+$P$2)^A7)," ")</f>
        <v>2311.3905325443784</v>
      </c>
      <c r="O7" s="4">
        <f>IF(A7&lt;('2. Inputs and results'!$C$21+1),'2. Inputs and results'!$C$73*'2. Inputs and results'!$C$75+O6," ")</f>
        <v>215000</v>
      </c>
      <c r="P7" s="4">
        <f>IF(A7&lt;('2. Inputs and results'!$C$21+1),(G7+I7+H7+J7)/((1+$P$2)^A7)," ")</f>
        <v>23426.405325443786</v>
      </c>
      <c r="Q7" s="4">
        <f>IF(A7&lt;('2. Inputs and results'!$C$21+1),Q6+P7," ")</f>
        <v>47080.251479289938</v>
      </c>
      <c r="R7" s="4">
        <f>IF(A7&lt;('2. Inputs and results'!$C$21+1),R6+G7+I7+H7+J7+T7-$V$6,NA())</f>
        <v>-175705</v>
      </c>
      <c r="S7" s="4">
        <f>IF(A7&lt;('2. Inputs and results'!$C$21+1),'2. Inputs and results'!$C$79*(R6)," ")</f>
        <v>-3893</v>
      </c>
      <c r="T7" s="4">
        <f t="shared" ref="T7:T55" si="1">IF(S7&lt;0,S7,0)</f>
        <v>-3893</v>
      </c>
      <c r="U7" s="4">
        <f>IF(A7&lt;('2. Inputs and results'!$C$21+1),U6+((G7+I7+H7+J7-$V$6+T7)/((1+$P$2)^A7)),NA())</f>
        <v>-177820.82100591715</v>
      </c>
      <c r="V7" s="4">
        <f>IF(A7&lt;('2. Inputs and results'!$C$21+1),V6+('2. Inputs and results'!$C$75*'2. Inputs and results'!$C$73)," ")</f>
        <v>5000</v>
      </c>
      <c r="W7" s="4">
        <f>IF(A7&lt;('2. Inputs and results'!$C$21+1),W6+C7+Y7-$V$6,NA())</f>
        <v>-176443</v>
      </c>
      <c r="X7" s="4">
        <f>IF(A7&lt;('2. Inputs and results'!$C$21+1),'2. Inputs and results'!$C$79*(W6)," ")</f>
        <v>-3893</v>
      </c>
      <c r="Y7" s="4">
        <f t="shared" ref="Y7:Y55" si="2">IF(X7&lt;0,X7,0)</f>
        <v>-3893</v>
      </c>
      <c r="Z7" s="4">
        <f>IF(A7&lt;('2. Inputs and results'!$C$21+1),Z6+((C7-$V$6+Y7)/((1+$P$2)^A7)),NA())</f>
        <v>-178503.14349112427</v>
      </c>
      <c r="AA7" s="4">
        <f>IF(A7&lt;('2. Inputs and results'!$C$21+1),AA6+G7+I7+H7+T7-$V$6," ")</f>
        <v>36795</v>
      </c>
      <c r="AB7" s="20">
        <f>IF(A7&lt;('2. Inputs and results'!$C$21+1),AA7/L7,NA())</f>
        <v>0.17315294117647059</v>
      </c>
      <c r="AC7" s="29">
        <f>IF(A7&lt;('2. Inputs and results'!$C$21+1),AC6+C7+Y7-$V$6," ")</f>
        <v>36057</v>
      </c>
      <c r="AD7" s="20">
        <f>IF(A7&lt;('2. Inputs and results'!$C$21+1),AC7/L7,NA())</f>
        <v>0.16968</v>
      </c>
      <c r="AE7">
        <f>IF(A7&lt;('2. Inputs and results'!$C$21+1),-'2. Inputs and results'!$C$121*A7," ")</f>
        <v>-92000</v>
      </c>
      <c r="AF7">
        <f>IF(A7&lt;('2. Inputs and results'!$C$21+1),AE7/1000,NA())</f>
        <v>-92</v>
      </c>
    </row>
    <row r="8" spans="1:32" x14ac:dyDescent="0.25">
      <c r="A8">
        <f t="shared" si="0"/>
        <v>3</v>
      </c>
      <c r="B8">
        <f>IF(A8&lt;('2. Inputs and results'!$C$21+1),A8," ")</f>
        <v>3</v>
      </c>
      <c r="C8" s="4">
        <f>IF(A8&lt;('2. Inputs and results'!$C$21+1),'2. Inputs and results'!$C$99+'2. Inputs and results'!$C$101," ")</f>
        <v>24600</v>
      </c>
      <c r="D8" s="4">
        <f>IF(A8&lt;('2. Inputs and results'!$C$21+1),D7+C8,NA())</f>
        <v>73800</v>
      </c>
      <c r="E8" s="4">
        <f>IF(A8&lt;('2. Inputs and results'!$C$21+1),C8/((1+$P$2)^A8)," ")</f>
        <v>21869.310423304505</v>
      </c>
      <c r="F8" s="4">
        <f>IF(B8&lt;('2. Inputs and results'!$C$21+1),F7+E8," ")</f>
        <v>68267.239417387333</v>
      </c>
      <c r="G8" s="4">
        <f>IF(A8&lt;('2. Inputs and results'!$C$21+1),G7*(1+'2. Inputs and results'!$C$44)," ")</f>
        <v>47740.5</v>
      </c>
      <c r="H8" s="4">
        <f>IF(A8&lt;('2. Inputs and results'!$C$21+1),H7*(1+'2. Inputs and results'!$C$56)," ")</f>
        <v>0</v>
      </c>
      <c r="I8" s="4">
        <f>IF(A8&lt;('2. Inputs and results'!$C$21+1),I7*(1+'2. Inputs and results'!$C$32)," ")</f>
        <v>-21642.36</v>
      </c>
      <c r="J8" s="4">
        <f>IF(A8&lt;('2. Inputs and results'!$C$21+1),J7*(1+'2. Inputs and results'!$C$66)," ")</f>
        <v>0</v>
      </c>
      <c r="K8" s="4">
        <f>IF(A8&lt;('2. Inputs and results'!$C$21+1),K7+(G8+I8+H8+J8),NA())</f>
        <v>76036.14</v>
      </c>
      <c r="L8" s="4">
        <f>IF(A8&lt;('2. Inputs and results'!$C$21+1),L7,NA())</f>
        <v>212500</v>
      </c>
      <c r="M8" s="4">
        <f>IF(A8&lt;('2. Inputs and results'!$C$21+1),'2. Inputs and results'!$C$75*'2. Inputs and results'!$C$73," ")</f>
        <v>2500</v>
      </c>
      <c r="N8" s="4">
        <f>IF(A8&lt;('2. Inputs and results'!$C$21+1),M8/((1+$P$2)^A8)," ")</f>
        <v>2222.4908966772869</v>
      </c>
      <c r="O8" s="4">
        <f>IF(A8&lt;('2. Inputs and results'!$C$21+1),'2. Inputs and results'!$C$73*'2. Inputs and results'!$C$75+O7," ")</f>
        <v>217500</v>
      </c>
      <c r="P8" s="4">
        <f>IF(A8&lt;('2. Inputs and results'!$C$21+1),(G8+I8+H8+J8)/((1+$P$2)^A8)," ")</f>
        <v>23201.151428083747</v>
      </c>
      <c r="Q8" s="4">
        <f>IF(A8&lt;('2. Inputs and results'!$C$21+1),Q7+P8," ")</f>
        <v>70281.402907373689</v>
      </c>
      <c r="R8" s="4">
        <f>IF(A8&lt;('2. Inputs and results'!$C$21+1),R7+G8+I8+H8+J8+T8-$V$6,NA())</f>
        <v>-155620.96</v>
      </c>
      <c r="S8" s="4">
        <f>IF(A8&lt;('2. Inputs and results'!$C$21+1),'2. Inputs and results'!$C$79*(R7)," ")</f>
        <v>-3514.1</v>
      </c>
      <c r="T8" s="4">
        <f t="shared" si="1"/>
        <v>-3514.1</v>
      </c>
      <c r="U8" s="4">
        <f>IF(A8&lt;('2. Inputs and results'!$C$21+1),U7+((G8+I8+H8+J8-$V$6+T8)/((1+$P$2)^A8)),NA())</f>
        <v>-159966.18257851616</v>
      </c>
      <c r="V8" s="4">
        <f>IF(A8&lt;('2. Inputs and results'!$C$21+1),V7+('2. Inputs and results'!$C$75*'2. Inputs and results'!$C$73)," ")</f>
        <v>7500</v>
      </c>
      <c r="W8" s="4">
        <f>IF(A8&lt;('2. Inputs and results'!$C$21+1),W7+C8+Y8-$V$6,NA())</f>
        <v>-157871.85999999999</v>
      </c>
      <c r="X8" s="4">
        <f>IF(A8&lt;('2. Inputs and results'!$C$21+1),'2. Inputs and results'!$C$79*(W7)," ")</f>
        <v>-3528.86</v>
      </c>
      <c r="Y8" s="4">
        <f t="shared" si="2"/>
        <v>-3528.86</v>
      </c>
      <c r="Z8" s="4">
        <f>IF(A8&lt;('2. Inputs and results'!$C$21+1),Z7+((C8-$V$6+Y8)/((1+$P$2)^A8)),NA())</f>
        <v>-161993.4676547565</v>
      </c>
      <c r="AA8" s="4">
        <f>IF(A8&lt;('2. Inputs and results'!$C$21+1),AA7+G8+I8+H8+T8-$V$6," ")</f>
        <v>56879.040000000001</v>
      </c>
      <c r="AB8" s="20">
        <f>IF(A8&lt;('2. Inputs and results'!$C$21+1),AA8/L8,NA())</f>
        <v>0.26766607058823527</v>
      </c>
      <c r="AC8" s="29">
        <f>IF(A8&lt;('2. Inputs and results'!$C$21+1),AC7+C8+Y8-$V$6," ")</f>
        <v>54628.14</v>
      </c>
      <c r="AD8" s="20">
        <f>IF(A8&lt;('2. Inputs and results'!$C$21+1),AC8/L8,NA())</f>
        <v>0.25707360000000001</v>
      </c>
      <c r="AE8">
        <f>IF(A8&lt;('2. Inputs and results'!$C$21+1),-'2. Inputs and results'!$C$121*A8," ")</f>
        <v>-138000</v>
      </c>
      <c r="AF8">
        <f>IF(A8&lt;('2. Inputs and results'!$C$21+1),AE8/1000,NA())</f>
        <v>-138</v>
      </c>
    </row>
    <row r="9" spans="1:32" x14ac:dyDescent="0.25">
      <c r="A9">
        <f t="shared" si="0"/>
        <v>4</v>
      </c>
      <c r="B9">
        <f>IF(A9&lt;('2. Inputs and results'!$C$21+1),A9," ")</f>
        <v>4</v>
      </c>
      <c r="C9" s="4">
        <f>IF(A9&lt;('2. Inputs and results'!$C$21+1),'2. Inputs and results'!$C$99+'2. Inputs and results'!$C$101," ")</f>
        <v>24600</v>
      </c>
      <c r="D9" s="4">
        <f>IF(A9&lt;('2. Inputs and results'!$C$21+1),D8+C9,NA())</f>
        <v>98400</v>
      </c>
      <c r="E9" s="4">
        <f>IF(A9&lt;('2. Inputs and results'!$C$21+1),C9/((1+$P$2)^A9)," ")</f>
        <v>21028.183099331251</v>
      </c>
      <c r="F9" s="4">
        <f>IF(B9&lt;('2. Inputs and results'!$C$21+1),F8+E9," ")</f>
        <v>89295.42251671858</v>
      </c>
      <c r="G9" s="4">
        <f>IF(A9&lt;('2. Inputs and results'!$C$21+1),G8*(1+'2. Inputs and results'!$C$44)," ")</f>
        <v>49172.715000000004</v>
      </c>
      <c r="H9" s="4">
        <f>IF(A9&lt;('2. Inputs and results'!$C$21+1),H8*(1+'2. Inputs and results'!$C$56)," ")</f>
        <v>0</v>
      </c>
      <c r="I9" s="4">
        <f>IF(A9&lt;('2. Inputs and results'!$C$21+1),I8*(1+'2. Inputs and results'!$C$32)," ")</f>
        <v>-22291.630800000003</v>
      </c>
      <c r="J9" s="4">
        <f>IF(A9&lt;('2. Inputs and results'!$C$21+1),J8*(1+'2. Inputs and results'!$C$66)," ")</f>
        <v>0</v>
      </c>
      <c r="K9" s="4">
        <f>IF(A9&lt;('2. Inputs and results'!$C$21+1),K8+(G9+I9+H9+J9),NA())</f>
        <v>102917.2242</v>
      </c>
      <c r="L9" s="4">
        <f>IF(A9&lt;('2. Inputs and results'!$C$21+1),L8,NA())</f>
        <v>212500</v>
      </c>
      <c r="M9" s="4">
        <f>IF(A9&lt;('2. Inputs and results'!$C$21+1),'2. Inputs and results'!$C$75*'2. Inputs and results'!$C$73," ")</f>
        <v>2500</v>
      </c>
      <c r="N9" s="4">
        <f>IF(A9&lt;('2. Inputs and results'!$C$21+1),M9/((1+$P$2)^A9)," ")</f>
        <v>2137.0104775743143</v>
      </c>
      <c r="O9" s="4">
        <f>IF(A9&lt;('2. Inputs and results'!$C$21+1),'2. Inputs and results'!$C$73*'2. Inputs and results'!$C$75+O8," ")</f>
        <v>220000</v>
      </c>
      <c r="P9" s="4">
        <f>IF(A9&lt;('2. Inputs and results'!$C$21+1),(G9+I9+H9+J9)/((1+$P$2)^A9)," ")</f>
        <v>22978.063433582942</v>
      </c>
      <c r="Q9" s="4">
        <f>IF(A9&lt;('2. Inputs and results'!$C$21+1),Q8+P9," ")</f>
        <v>93259.466340956627</v>
      </c>
      <c r="R9" s="4">
        <f>IF(A9&lt;('2. Inputs and results'!$C$21+1),R8+G9+I9+H9+J9+T9-$V$6,NA())</f>
        <v>-134352.29499999998</v>
      </c>
      <c r="S9" s="4">
        <f>IF(A9&lt;('2. Inputs and results'!$C$21+1),'2. Inputs and results'!$C$79*(R8)," ")</f>
        <v>-3112.4191999999998</v>
      </c>
      <c r="T9" s="4">
        <f t="shared" si="1"/>
        <v>-3112.4191999999998</v>
      </c>
      <c r="U9" s="4">
        <f>IF(A9&lt;('2. Inputs and results'!$C$21+1),U8+((G9+I9+H9+J9-$V$6+T9)/((1+$P$2)^A9)),NA())</f>
        <v>-141785.63859890893</v>
      </c>
      <c r="V9" s="4">
        <f>IF(A9&lt;('2. Inputs and results'!$C$21+1),V8+('2. Inputs and results'!$C$75*'2. Inputs and results'!$C$73)," ")</f>
        <v>10000</v>
      </c>
      <c r="W9" s="4">
        <f>IF(A9&lt;('2. Inputs and results'!$C$21+1),W8+C9+Y9-$V$6,NA())</f>
        <v>-138929.29719999997</v>
      </c>
      <c r="X9" s="4">
        <f>IF(A9&lt;('2. Inputs and results'!$C$21+1),'2. Inputs and results'!$C$79*(W8)," ")</f>
        <v>-3157.4371999999998</v>
      </c>
      <c r="Y9" s="4">
        <f t="shared" si="2"/>
        <v>-3157.4371999999998</v>
      </c>
      <c r="Z9" s="4">
        <f>IF(A9&lt;('2. Inputs and results'!$C$21+1),Z8+((C9-$V$6+Y9)/((1+$P$2)^A9)),NA())</f>
        <v>-145801.28558447273</v>
      </c>
      <c r="AA9" s="4">
        <f>IF(A9&lt;('2. Inputs and results'!$C$21+1),AA8+G9+I9+H9+T9-$V$6," ")</f>
        <v>78147.705000000002</v>
      </c>
      <c r="AB9" s="20">
        <f>IF(A9&lt;('2. Inputs and results'!$C$21+1),AA9/L9,NA())</f>
        <v>0.36775390588235296</v>
      </c>
      <c r="AC9" s="29">
        <f>IF(A9&lt;('2. Inputs and results'!$C$21+1),AC8+C9+Y9-$V$6," ")</f>
        <v>73570.702799999999</v>
      </c>
      <c r="AD9" s="20">
        <f>IF(A9&lt;('2. Inputs and results'!$C$21+1),AC9/L9,NA())</f>
        <v>0.34621507200000001</v>
      </c>
      <c r="AE9">
        <f>IF(A9&lt;('2. Inputs and results'!$C$21+1),-'2. Inputs and results'!$C$121*A9," ")</f>
        <v>-184000</v>
      </c>
      <c r="AF9">
        <f>IF(A9&lt;('2. Inputs and results'!$C$21+1),AE9/1000,NA())</f>
        <v>-184</v>
      </c>
    </row>
    <row r="10" spans="1:32" x14ac:dyDescent="0.25">
      <c r="A10">
        <f t="shared" si="0"/>
        <v>5</v>
      </c>
      <c r="B10">
        <f>IF(A10&lt;('2. Inputs and results'!$C$21+1),A10," ")</f>
        <v>5</v>
      </c>
      <c r="C10" s="4">
        <f>IF(A10&lt;('2. Inputs and results'!$C$21+1),'2. Inputs and results'!$C$99+'2. Inputs and results'!$C$101," ")</f>
        <v>24600</v>
      </c>
      <c r="D10" s="4">
        <f>IF(A10&lt;('2. Inputs and results'!$C$21+1),D9+C10,NA())</f>
        <v>123000</v>
      </c>
      <c r="E10" s="4">
        <f>IF(A10&lt;('2. Inputs and results'!$C$21+1),C10/((1+$P$2)^A10)," ")</f>
        <v>20219.406826280047</v>
      </c>
      <c r="F10" s="4">
        <f>IF(B10&lt;('2. Inputs and results'!$C$21+1),F9+E10," ")</f>
        <v>109514.82934299862</v>
      </c>
      <c r="G10" s="4">
        <f>IF(A10&lt;('2. Inputs and results'!$C$21+1),G9*(1+'2. Inputs and results'!$C$44)," ")</f>
        <v>50647.896450000007</v>
      </c>
      <c r="H10" s="4">
        <f>IF(A10&lt;('2. Inputs and results'!$C$21+1),H9*(1+'2. Inputs and results'!$C$56)," ")</f>
        <v>0</v>
      </c>
      <c r="I10" s="4">
        <f>IF(A10&lt;('2. Inputs and results'!$C$21+1),I9*(1+'2. Inputs and results'!$C$32)," ")</f>
        <v>-22960.379724000002</v>
      </c>
      <c r="J10" s="4">
        <f>IF(A10&lt;('2. Inputs and results'!$C$21+1),J9*(1+'2. Inputs and results'!$C$66)," ")</f>
        <v>0</v>
      </c>
      <c r="K10" s="4">
        <f>IF(A10&lt;('2. Inputs and results'!$C$21+1),K9+(G10+I10+H10+J10),NA())</f>
        <v>130604.740926</v>
      </c>
      <c r="L10" s="4">
        <f>IF(A10&lt;('2. Inputs and results'!$C$21+1),L9,NA())</f>
        <v>212500</v>
      </c>
      <c r="M10" s="4">
        <f>IF(A10&lt;('2. Inputs and results'!$C$21+1),'2. Inputs and results'!$C$75*'2. Inputs and results'!$C$73," ")</f>
        <v>2500</v>
      </c>
      <c r="N10" s="4">
        <f>IF(A10&lt;('2. Inputs and results'!$C$21+1),M10/((1+$P$2)^A10)," ")</f>
        <v>2054.817766898379</v>
      </c>
      <c r="O10" s="4">
        <f>IF(A10&lt;('2. Inputs and results'!$C$21+1),'2. Inputs and results'!$C$73*'2. Inputs and results'!$C$75+O9," ")</f>
        <v>222500</v>
      </c>
      <c r="P10" s="4">
        <f>IF(A10&lt;('2. Inputs and results'!$C$21+1),(G10+I10+H10+J10)/((1+$P$2)^A10)," ")</f>
        <v>22757.120515952338</v>
      </c>
      <c r="Q10" s="4">
        <f>IF(A10&lt;('2. Inputs and results'!$C$21+1),Q9+P10," ")</f>
        <v>116016.58685690897</v>
      </c>
      <c r="R10" s="4">
        <f>IF(A10&lt;('2. Inputs and results'!$C$21+1),R9+G10+I10+H10+J10+T10-$V$6,NA())</f>
        <v>-111851.82417399998</v>
      </c>
      <c r="S10" s="4">
        <f>IF(A10&lt;('2. Inputs and results'!$C$21+1),'2. Inputs and results'!$C$79*(R9)," ")</f>
        <v>-2687.0458999999996</v>
      </c>
      <c r="T10" s="4">
        <f t="shared" si="1"/>
        <v>-2687.0458999999996</v>
      </c>
      <c r="U10" s="4">
        <f>IF(A10&lt;('2. Inputs and results'!$C$21+1),U9+((G10+I10+H10+J10-$V$6+T10)/((1+$P$2)^A10)),NA())</f>
        <v>-123291.89171217155</v>
      </c>
      <c r="V10" s="4">
        <f>IF(A10&lt;('2. Inputs and results'!$C$21+1),V9+('2. Inputs and results'!$C$75*'2. Inputs and results'!$C$73)," ")</f>
        <v>12500</v>
      </c>
      <c r="W10" s="4">
        <f>IF(A10&lt;('2. Inputs and results'!$C$21+1),W9+C10+Y10-$V$6,NA())</f>
        <v>-119607.88314399998</v>
      </c>
      <c r="X10" s="4">
        <f>IF(A10&lt;('2. Inputs and results'!$C$21+1),'2. Inputs and results'!$C$79*(W9)," ")</f>
        <v>-2778.5859439999995</v>
      </c>
      <c r="Y10" s="4">
        <f t="shared" si="2"/>
        <v>-2778.5859439999995</v>
      </c>
      <c r="Z10" s="4">
        <f>IF(A10&lt;('2. Inputs and results'!$C$21+1),Z9+((C10-$V$6+Y10)/((1+$P$2)^A10)),NA())</f>
        <v>-129920.49163092519</v>
      </c>
      <c r="AA10" s="4">
        <f>IF(A10&lt;('2. Inputs and results'!$C$21+1),AA9+G10+I10+H10+T10-$V$6," ")</f>
        <v>100648.17582600002</v>
      </c>
      <c r="AB10" s="20">
        <f>IF(A10&lt;('2. Inputs and results'!$C$21+1),AA10/L10,NA())</f>
        <v>0.47363847447529422</v>
      </c>
      <c r="AC10" s="29">
        <f>IF(A10&lt;('2. Inputs and results'!$C$21+1),AC9+C10+Y10-$V$6," ")</f>
        <v>92892.116855999993</v>
      </c>
      <c r="AD10" s="20">
        <f>IF(A10&lt;('2. Inputs and results'!$C$21+1),AC10/L10,NA())</f>
        <v>0.43713937343999998</v>
      </c>
      <c r="AE10">
        <f>IF(A10&lt;('2. Inputs and results'!$C$21+1),-'2. Inputs and results'!$C$121*A10," ")</f>
        <v>-230000</v>
      </c>
      <c r="AF10">
        <f>IF(A10&lt;('2. Inputs and results'!$C$21+1),AE10/1000,NA())</f>
        <v>-230</v>
      </c>
    </row>
    <row r="11" spans="1:32" x14ac:dyDescent="0.25">
      <c r="A11">
        <f t="shared" si="0"/>
        <v>6</v>
      </c>
      <c r="B11">
        <f>IF(A11&lt;('2. Inputs and results'!$C$21+1),A11," ")</f>
        <v>6</v>
      </c>
      <c r="C11" s="4">
        <f>IF(A11&lt;('2. Inputs and results'!$C$21+1),'2. Inputs and results'!$C$99+'2. Inputs and results'!$C$101," ")</f>
        <v>24600</v>
      </c>
      <c r="D11" s="4">
        <f>IF(A11&lt;('2. Inputs and results'!$C$21+1),D10+C11,NA())</f>
        <v>147600</v>
      </c>
      <c r="E11" s="4">
        <f>IF(A11&lt;('2. Inputs and results'!$C$21+1),C11/((1+$P$2)^A11)," ")</f>
        <v>19441.737332961584</v>
      </c>
      <c r="F11" s="4">
        <f>IF(B11&lt;('2. Inputs and results'!$C$21+1),F10+E11," ")</f>
        <v>128956.5666759602</v>
      </c>
      <c r="G11" s="4">
        <f>IF(A11&lt;('2. Inputs and results'!$C$21+1),G10*(1+'2. Inputs and results'!$C$44)," ")</f>
        <v>52167.33334350001</v>
      </c>
      <c r="H11" s="4">
        <f>IF(A11&lt;('2. Inputs and results'!$C$21+1),H10*(1+'2. Inputs and results'!$C$56)," ")</f>
        <v>0</v>
      </c>
      <c r="I11" s="4">
        <f>IF(A11&lt;('2. Inputs and results'!$C$21+1),I10*(1+'2. Inputs and results'!$C$32)," ")</f>
        <v>-23649.191115720001</v>
      </c>
      <c r="J11" s="4">
        <f>IF(A11&lt;('2. Inputs and results'!$C$21+1),J10*(1+'2. Inputs and results'!$C$66)," ")</f>
        <v>0</v>
      </c>
      <c r="K11" s="4">
        <f>IF(A11&lt;('2. Inputs and results'!$C$21+1),K10+(G11+I11+H11+J11),NA())</f>
        <v>159122.88315378001</v>
      </c>
      <c r="L11" s="4">
        <f>IF(A11&lt;('2. Inputs and results'!$C$21+1),L10,NA())</f>
        <v>212500</v>
      </c>
      <c r="M11" s="4">
        <f>IF(A11&lt;('2. Inputs and results'!$C$21+1),'2. Inputs and results'!$C$75*'2. Inputs and results'!$C$73," ")</f>
        <v>2500</v>
      </c>
      <c r="N11" s="4">
        <f>IF(A11&lt;('2. Inputs and results'!$C$21+1),M11/((1+$P$2)^A11)," ")</f>
        <v>1975.7863143253642</v>
      </c>
      <c r="O11" s="4">
        <f>IF(A11&lt;('2. Inputs and results'!$C$21+1),'2. Inputs and results'!$C$73*'2. Inputs and results'!$C$75+O10," ")</f>
        <v>225000</v>
      </c>
      <c r="P11" s="4">
        <f>IF(A11&lt;('2. Inputs and results'!$C$21+1),(G11+I11+H11+J11)/((1+$P$2)^A11)," ")</f>
        <v>22538.302049452799</v>
      </c>
      <c r="Q11" s="4">
        <f>IF(A11&lt;('2. Inputs and results'!$C$21+1),Q10+P11," ")</f>
        <v>138554.88890636177</v>
      </c>
      <c r="R11" s="4">
        <f>IF(A11&lt;('2. Inputs and results'!$C$21+1),R10+G11+I11+H11+J11+T11-$V$6,NA())</f>
        <v>-88070.718429699962</v>
      </c>
      <c r="S11" s="4">
        <f>IF(A11&lt;('2. Inputs and results'!$C$21+1),'2. Inputs and results'!$C$79*(R10)," ")</f>
        <v>-2237.0364834799998</v>
      </c>
      <c r="T11" s="4">
        <f t="shared" si="1"/>
        <v>-2237.0364834799998</v>
      </c>
      <c r="U11" s="4">
        <f>IF(A11&lt;('2. Inputs and results'!$C$21+1),U10+((G11+I11+H11+J11-$V$6+T11)/((1+$P$2)^A11)),NA())</f>
        <v>-104497.33840452664</v>
      </c>
      <c r="V11" s="4">
        <f>IF(A11&lt;('2. Inputs and results'!$C$21+1),V10+('2. Inputs and results'!$C$75*'2. Inputs and results'!$C$73)," ")</f>
        <v>15000</v>
      </c>
      <c r="W11" s="4">
        <f>IF(A11&lt;('2. Inputs and results'!$C$21+1),W10+C11+Y11-$V$6,NA())</f>
        <v>-99900.040806879973</v>
      </c>
      <c r="X11" s="4">
        <f>IF(A11&lt;('2. Inputs and results'!$C$21+1),'2. Inputs and results'!$C$79*(W10)," ")</f>
        <v>-2392.1576628799994</v>
      </c>
      <c r="Y11" s="4">
        <f t="shared" si="2"/>
        <v>-2392.1576628799994</v>
      </c>
      <c r="Z11" s="4">
        <f>IF(A11&lt;('2. Inputs and results'!$C$21+1),Z10+((C11-$V$6+Y11)/((1+$P$2)^A11)),NA())</f>
        <v>-114345.09756109971</v>
      </c>
      <c r="AA11" s="4">
        <f>IF(A11&lt;('2. Inputs and results'!$C$21+1),AA10+G11+I11+H11+T11-$V$6," ")</f>
        <v>124429.28157030004</v>
      </c>
      <c r="AB11" s="20">
        <f>IF(A11&lt;('2. Inputs and results'!$C$21+1),AA11/L11,NA())</f>
        <v>0.58554956033082373</v>
      </c>
      <c r="AC11" s="29">
        <f>IF(A11&lt;('2. Inputs and results'!$C$21+1),AC10+C11+Y11-$V$6," ")</f>
        <v>112599.95919312</v>
      </c>
      <c r="AD11" s="20">
        <f>IF(A11&lt;('2. Inputs and results'!$C$21+1),AC11/L11,NA())</f>
        <v>0.52988216090880003</v>
      </c>
      <c r="AE11">
        <f>IF(A11&lt;('2. Inputs and results'!$C$21+1),-'2. Inputs and results'!$C$121*A11," ")</f>
        <v>-276000</v>
      </c>
      <c r="AF11">
        <f>IF(A11&lt;('2. Inputs and results'!$C$21+1),AE11/1000,NA())</f>
        <v>-276</v>
      </c>
    </row>
    <row r="12" spans="1:32" x14ac:dyDescent="0.25">
      <c r="A12">
        <f t="shared" si="0"/>
        <v>7</v>
      </c>
      <c r="B12">
        <f>IF(A12&lt;('2. Inputs and results'!$C$21+1),A12," ")</f>
        <v>7</v>
      </c>
      <c r="C12" s="4">
        <f>IF(A12&lt;('2. Inputs and results'!$C$21+1),'2. Inputs and results'!$C$99+'2. Inputs and results'!$C$101," ")</f>
        <v>24600</v>
      </c>
      <c r="D12" s="4">
        <f>IF(A12&lt;('2. Inputs and results'!$C$21+1),D11+C12,NA())</f>
        <v>172200</v>
      </c>
      <c r="E12" s="4">
        <f>IF(A12&lt;('2. Inputs and results'!$C$21+1),C12/((1+$P$2)^A12)," ")</f>
        <v>18693.978204770756</v>
      </c>
      <c r="F12" s="4">
        <f>IF(B12&lt;('2. Inputs and results'!$C$21+1),F11+E12," ")</f>
        <v>147650.54488073097</v>
      </c>
      <c r="G12" s="4">
        <f>IF(A12&lt;('2. Inputs and results'!$C$21+1),G11*(1+'2. Inputs and results'!$C$44)," ")</f>
        <v>53732.353343805014</v>
      </c>
      <c r="H12" s="4">
        <f>IF(A12&lt;('2. Inputs and results'!$C$21+1),H11*(1+'2. Inputs and results'!$C$56)," ")</f>
        <v>0</v>
      </c>
      <c r="I12" s="4">
        <f>IF(A12&lt;('2. Inputs and results'!$C$21+1),I11*(1+'2. Inputs and results'!$C$32)," ")</f>
        <v>-24358.666849191603</v>
      </c>
      <c r="J12" s="4">
        <f>IF(A12&lt;('2. Inputs and results'!$C$21+1),J11*(1+'2. Inputs and results'!$C$66)," ")</f>
        <v>0</v>
      </c>
      <c r="K12" s="4">
        <f>IF(A12&lt;('2. Inputs and results'!$C$21+1),K11+(G12+I12+H12+J12),NA())</f>
        <v>188496.56964839343</v>
      </c>
      <c r="L12" s="4">
        <f>IF(A12&lt;('2. Inputs and results'!$C$21+1),L11,NA())</f>
        <v>212500</v>
      </c>
      <c r="M12" s="4">
        <f>IF(A12&lt;('2. Inputs and results'!$C$21+1),'2. Inputs and results'!$C$75*'2. Inputs and results'!$C$73," ")</f>
        <v>2500</v>
      </c>
      <c r="N12" s="4">
        <f>IF(A12&lt;('2. Inputs and results'!$C$21+1),M12/((1+$P$2)^A12)," ")</f>
        <v>1899.7945330051582</v>
      </c>
      <c r="O12" s="4">
        <f>IF(A12&lt;('2. Inputs and results'!$C$21+1),'2. Inputs and results'!$C$73*'2. Inputs and results'!$C$75+O11," ")</f>
        <v>227500</v>
      </c>
      <c r="P12" s="4">
        <f>IF(A12&lt;('2. Inputs and results'!$C$21+1),(G12+I12+H12+J12)/((1+$P$2)^A12)," ")</f>
        <v>22321.587606669604</v>
      </c>
      <c r="Q12" s="4">
        <f>IF(A12&lt;('2. Inputs and results'!$C$21+1),Q11+P12," ")</f>
        <v>160876.47651303138</v>
      </c>
      <c r="R12" s="4">
        <f>IF(A12&lt;('2. Inputs and results'!$C$21+1),R11+G12+I12+H12+J12+T12-$V$6,NA())</f>
        <v>-62958.446303680546</v>
      </c>
      <c r="S12" s="4">
        <f>IF(A12&lt;('2. Inputs and results'!$C$21+1),'2. Inputs and results'!$C$79*(R11)," ")</f>
        <v>-1761.4143685939994</v>
      </c>
      <c r="T12" s="4">
        <f t="shared" si="1"/>
        <v>-1761.4143685939994</v>
      </c>
      <c r="U12" s="4">
        <f>IF(A12&lt;('2. Inputs and results'!$C$21+1),U11+((G12+I12+H12+J12-$V$6+T12)/((1+$P$2)^A12)),NA())</f>
        <v>-85414.075485986847</v>
      </c>
      <c r="V12" s="4">
        <f>IF(A12&lt;('2. Inputs and results'!$C$21+1),V11+('2. Inputs and results'!$C$75*'2. Inputs and results'!$C$73)," ")</f>
        <v>17500</v>
      </c>
      <c r="W12" s="4">
        <f>IF(A12&lt;('2. Inputs and results'!$C$21+1),W11+C12+Y12-$V$6,NA())</f>
        <v>-79798.041623017576</v>
      </c>
      <c r="X12" s="4">
        <f>IF(A12&lt;('2. Inputs and results'!$C$21+1),'2. Inputs and results'!$C$79*(W11)," ")</f>
        <v>-1998.0008161375995</v>
      </c>
      <c r="Y12" s="4">
        <f t="shared" si="2"/>
        <v>-1998.0008161375995</v>
      </c>
      <c r="Z12" s="4">
        <f>IF(A12&lt;('2. Inputs and results'!$C$21+1),Z11+((C12-$V$6+Y12)/((1+$P$2)^A12)),NA())</f>
        <v>-99069.23030030934</v>
      </c>
      <c r="AA12" s="4">
        <f>IF(A12&lt;('2. Inputs and results'!$C$21+1),AA11+G12+I12+H12+T12-$V$6," ")</f>
        <v>149541.55369631946</v>
      </c>
      <c r="AB12" s="20">
        <f>IF(A12&lt;('2. Inputs and results'!$C$21+1),AA12/L12,NA())</f>
        <v>0.7037249585709151</v>
      </c>
      <c r="AC12" s="29">
        <f>IF(A12&lt;('2. Inputs and results'!$C$21+1),AC11+C12+Y12-$V$6," ")</f>
        <v>132701.95837698242</v>
      </c>
      <c r="AD12" s="20">
        <f>IF(A12&lt;('2. Inputs and results'!$C$21+1),AC12/L12,NA())</f>
        <v>0.62447980412697612</v>
      </c>
      <c r="AE12">
        <f>IF(A12&lt;('2. Inputs and results'!$C$21+1),-'2. Inputs and results'!$C$121*A12," ")</f>
        <v>-322000</v>
      </c>
      <c r="AF12">
        <f>IF(A12&lt;('2. Inputs and results'!$C$21+1),AE12/1000,NA())</f>
        <v>-322</v>
      </c>
    </row>
    <row r="13" spans="1:32" x14ac:dyDescent="0.25">
      <c r="A13">
        <f t="shared" si="0"/>
        <v>8</v>
      </c>
      <c r="B13">
        <f>IF(A13&lt;('2. Inputs and results'!$C$21+1),A13," ")</f>
        <v>8</v>
      </c>
      <c r="C13" s="4">
        <f>IF(A13&lt;('2. Inputs and results'!$C$21+1),'2. Inputs and results'!$C$99+'2. Inputs and results'!$C$101," ")</f>
        <v>24600</v>
      </c>
      <c r="D13" s="4">
        <f>IF(A13&lt;('2. Inputs and results'!$C$21+1),D12+C13,NA())</f>
        <v>196800</v>
      </c>
      <c r="E13" s="4">
        <f>IF(A13&lt;('2. Inputs and results'!$C$21+1),C13/((1+$P$2)^A13)," ")</f>
        <v>17974.979043048799</v>
      </c>
      <c r="F13" s="4">
        <f>IF(B13&lt;('2. Inputs and results'!$C$21+1),F12+E13," ")</f>
        <v>165625.52392377978</v>
      </c>
      <c r="G13" s="4">
        <f>IF(A13&lt;('2. Inputs and results'!$C$21+1),G12*(1+'2. Inputs and results'!$C$44)," ")</f>
        <v>55344.323944119169</v>
      </c>
      <c r="H13" s="4">
        <f>IF(A13&lt;('2. Inputs and results'!$C$21+1),H12*(1+'2. Inputs and results'!$C$56)," ")</f>
        <v>0</v>
      </c>
      <c r="I13" s="4">
        <f>IF(A13&lt;('2. Inputs and results'!$C$21+1),I12*(1+'2. Inputs and results'!$C$32)," ")</f>
        <v>-25089.426854667352</v>
      </c>
      <c r="J13" s="4">
        <f>IF(A13&lt;('2. Inputs and results'!$C$21+1),J12*(1+'2. Inputs and results'!$C$66)," ")</f>
        <v>0</v>
      </c>
      <c r="K13" s="4">
        <f>IF(A13&lt;('2. Inputs and results'!$C$21+1),K12+(G13+I13+H13+J13),NA())</f>
        <v>218751.46673784524</v>
      </c>
      <c r="L13" s="4">
        <f>IF(A13&lt;('2. Inputs and results'!$C$21+1),L12,NA())</f>
        <v>212500</v>
      </c>
      <c r="M13" s="4">
        <f>IF(A13&lt;('2. Inputs and results'!$C$21+1),'2. Inputs and results'!$C$75*'2. Inputs and results'!$C$73," ")</f>
        <v>2500</v>
      </c>
      <c r="N13" s="4">
        <f>IF(A13&lt;('2. Inputs and results'!$C$21+1),M13/((1+$P$2)^A13)," ")</f>
        <v>1826.7255125049594</v>
      </c>
      <c r="O13" s="4">
        <f>IF(A13&lt;('2. Inputs and results'!$C$21+1),'2. Inputs and results'!$C$73*'2. Inputs and results'!$C$75+O12," ")</f>
        <v>230000</v>
      </c>
      <c r="P13" s="4">
        <f>IF(A13&lt;('2. Inputs and results'!$C$21+1),(G13+I13+H13+J13)/((1+$P$2)^A13)," ")</f>
        <v>22106.956956605471</v>
      </c>
      <c r="Q13" s="4">
        <f>IF(A13&lt;('2. Inputs and results'!$C$21+1),Q12+P13," ")</f>
        <v>182983.43346963683</v>
      </c>
      <c r="R13" s="4">
        <f>IF(A13&lt;('2. Inputs and results'!$C$21+1),R12+G13+I13+H13+J13+T13-$V$6,NA())</f>
        <v>-36462.718140302342</v>
      </c>
      <c r="S13" s="4">
        <f>IF(A13&lt;('2. Inputs and results'!$C$21+1),'2. Inputs and results'!$C$79*(R12)," ")</f>
        <v>-1259.1689260736109</v>
      </c>
      <c r="T13" s="4">
        <f t="shared" si="1"/>
        <v>-1259.1689260736109</v>
      </c>
      <c r="U13" s="4">
        <f>IF(A13&lt;('2. Inputs and results'!$C$21+1),U12+((G13+I13+H13+J13-$V$6+T13)/((1+$P$2)^A13)),NA())</f>
        <v>-66053.906442611187</v>
      </c>
      <c r="V13" s="4">
        <f>IF(A13&lt;('2. Inputs and results'!$C$21+1),V12+('2. Inputs and results'!$C$75*'2. Inputs and results'!$C$73)," ")</f>
        <v>20000</v>
      </c>
      <c r="W13" s="4">
        <f>IF(A13&lt;('2. Inputs and results'!$C$21+1),W12+C13+Y13-$V$6,NA())</f>
        <v>-59294.00245547793</v>
      </c>
      <c r="X13" s="4">
        <f>IF(A13&lt;('2. Inputs and results'!$C$21+1),'2. Inputs and results'!$C$79*(W12)," ")</f>
        <v>-1595.9608324603516</v>
      </c>
      <c r="Y13" s="4">
        <f t="shared" si="2"/>
        <v>-1595.9608324603516</v>
      </c>
      <c r="Z13" s="4">
        <f>IF(A13&lt;('2. Inputs and results'!$C$21+1),Z12+((C13-$V$6+Y13)/((1+$P$2)^A13)),NA())</f>
        <v>-84087.129717611097</v>
      </c>
      <c r="AA13" s="4">
        <f>IF(A13&lt;('2. Inputs and results'!$C$21+1),AA12+G13+I13+H13+T13-$V$6," ")</f>
        <v>176037.28185969766</v>
      </c>
      <c r="AB13" s="20">
        <f>IF(A13&lt;('2. Inputs and results'!$C$21+1),AA13/L13,NA())</f>
        <v>0.82841073816328314</v>
      </c>
      <c r="AC13" s="29">
        <f>IF(A13&lt;('2. Inputs and results'!$C$21+1),AC12+C13+Y13-$V$6," ")</f>
        <v>153205.99754452208</v>
      </c>
      <c r="AD13" s="20">
        <f>IF(A13&lt;('2. Inputs and results'!$C$21+1),AC13/L13,NA())</f>
        <v>0.72096940020951561</v>
      </c>
      <c r="AE13">
        <f>IF(A13&lt;('2. Inputs and results'!$C$21+1),-'2. Inputs and results'!$C$121*A13," ")</f>
        <v>-368000</v>
      </c>
      <c r="AF13">
        <f>IF(A13&lt;('2. Inputs and results'!$C$21+1),AE13/1000,NA())</f>
        <v>-368</v>
      </c>
    </row>
    <row r="14" spans="1:32" x14ac:dyDescent="0.25">
      <c r="A14">
        <f t="shared" si="0"/>
        <v>9</v>
      </c>
      <c r="B14">
        <f>IF(A14&lt;('2. Inputs and results'!$C$21+1),A14," ")</f>
        <v>9</v>
      </c>
      <c r="C14" s="4">
        <f>IF(A14&lt;('2. Inputs and results'!$C$21+1),'2. Inputs and results'!$C$99+'2. Inputs and results'!$C$101," ")</f>
        <v>24600</v>
      </c>
      <c r="D14" s="4">
        <f>IF(A14&lt;('2. Inputs and results'!$C$21+1),D13+C14,NA())</f>
        <v>221400</v>
      </c>
      <c r="E14" s="4">
        <f>IF(A14&lt;('2. Inputs and results'!$C$21+1),C14/((1+$P$2)^A14)," ")</f>
        <v>17283.63369523923</v>
      </c>
      <c r="F14" s="4">
        <f>IF(B14&lt;('2. Inputs and results'!$C$21+1),F13+E14," ")</f>
        <v>182909.15761901901</v>
      </c>
      <c r="G14" s="4">
        <f>IF(A14&lt;('2. Inputs and results'!$C$21+1),G13*(1+'2. Inputs and results'!$C$44)," ")</f>
        <v>57004.653662442746</v>
      </c>
      <c r="H14" s="4">
        <f>IF(A14&lt;('2. Inputs and results'!$C$21+1),H13*(1+'2. Inputs and results'!$C$56)," ")</f>
        <v>0</v>
      </c>
      <c r="I14" s="4">
        <f>IF(A14&lt;('2. Inputs and results'!$C$21+1),I13*(1+'2. Inputs and results'!$C$32)," ")</f>
        <v>-25842.109660307375</v>
      </c>
      <c r="J14" s="4">
        <f>IF(A14&lt;('2. Inputs and results'!$C$21+1),J13*(1+'2. Inputs and results'!$C$66)," ")</f>
        <v>0</v>
      </c>
      <c r="K14" s="4">
        <f>IF(A14&lt;('2. Inputs and results'!$C$21+1),K13+(G14+I14+H14+J14),NA())</f>
        <v>249914.01073998061</v>
      </c>
      <c r="L14" s="4">
        <f>IF(A14&lt;('2. Inputs and results'!$C$21+1),L13,NA())</f>
        <v>212500</v>
      </c>
      <c r="M14" s="4">
        <f>IF(A14&lt;('2. Inputs and results'!$C$21+1),'2. Inputs and results'!$C$75*'2. Inputs and results'!$C$73," ")</f>
        <v>2500</v>
      </c>
      <c r="N14" s="4">
        <f>IF(A14&lt;('2. Inputs and results'!$C$21+1),M14/((1+$P$2)^A14)," ")</f>
        <v>1756.4668389470762</v>
      </c>
      <c r="O14" s="4">
        <f>IF(A14&lt;('2. Inputs and results'!$C$21+1),'2. Inputs and results'!$C$73*'2. Inputs and results'!$C$75+O13," ")</f>
        <v>232500</v>
      </c>
      <c r="P14" s="4">
        <f>IF(A14&lt;('2. Inputs and results'!$C$21+1),(G14+I14+H14+J14)/((1+$P$2)^A14)," ")</f>
        <v>21894.390062791954</v>
      </c>
      <c r="Q14" s="4">
        <f>IF(A14&lt;('2. Inputs and results'!$C$21+1),Q13+P14," ")</f>
        <v>204877.8235324288</v>
      </c>
      <c r="R14" s="4">
        <f>IF(A14&lt;('2. Inputs and results'!$C$21+1),R13+G14+I14+H14+J14+T14-$V$6,NA())</f>
        <v>-8529.4285009730174</v>
      </c>
      <c r="S14" s="4">
        <f>IF(A14&lt;('2. Inputs and results'!$C$21+1),'2. Inputs and results'!$C$79*(R13)," ")</f>
        <v>-729.25436280604686</v>
      </c>
      <c r="T14" s="4">
        <f t="shared" si="1"/>
        <v>-729.25436280604686</v>
      </c>
      <c r="U14" s="4">
        <f>IF(A14&lt;('2. Inputs and results'!$C$21+1),U13+((G14+I14+H14+J14-$V$6+T14)/((1+$P$2)^A14)),NA())</f>
        <v>-46428.34766093683</v>
      </c>
      <c r="V14" s="4">
        <f>IF(A14&lt;('2. Inputs and results'!$C$21+1),V13+('2. Inputs and results'!$C$75*'2. Inputs and results'!$C$73)," ")</f>
        <v>22500</v>
      </c>
      <c r="W14" s="4">
        <f>IF(A14&lt;('2. Inputs and results'!$C$21+1),W13+C14+Y14-$V$6,NA())</f>
        <v>-38379.882504587491</v>
      </c>
      <c r="X14" s="4">
        <f>IF(A14&lt;('2. Inputs and results'!$C$21+1),'2. Inputs and results'!$C$79*(W13)," ")</f>
        <v>-1185.8800491095587</v>
      </c>
      <c r="Y14" s="4">
        <f t="shared" si="2"/>
        <v>-1185.8800491095587</v>
      </c>
      <c r="Z14" s="4">
        <f>IF(A14&lt;('2. Inputs and results'!$C$21+1),Z13+((C14-$V$6+Y14)/((1+$P$2)^A14)),NA())</f>
        <v>-69393.146453810885</v>
      </c>
      <c r="AA14" s="4">
        <f>IF(A14&lt;('2. Inputs and results'!$C$21+1),AA13+G14+I14+H14+T14-$V$6," ")</f>
        <v>203970.57149902699</v>
      </c>
      <c r="AB14" s="20">
        <f>IF(A14&lt;('2. Inputs and results'!$C$21+1),AA14/L14,NA())</f>
        <v>0.95986151293659761</v>
      </c>
      <c r="AC14" s="29">
        <f>IF(A14&lt;('2. Inputs and results'!$C$21+1),AC13+C14+Y14-$V$6," ")</f>
        <v>174120.11749541253</v>
      </c>
      <c r="AD14" s="20">
        <f>IF(A14&lt;('2. Inputs and results'!$C$21+1),AC14/L14,NA())</f>
        <v>0.81938878821370598</v>
      </c>
      <c r="AE14">
        <f>IF(A14&lt;('2. Inputs and results'!$C$21+1),-'2. Inputs and results'!$C$121*A14," ")</f>
        <v>-414000</v>
      </c>
      <c r="AF14">
        <f>IF(A14&lt;('2. Inputs and results'!$C$21+1),AE14/1000,NA())</f>
        <v>-414</v>
      </c>
    </row>
    <row r="15" spans="1:32" x14ac:dyDescent="0.25">
      <c r="A15">
        <f t="shared" si="0"/>
        <v>10</v>
      </c>
      <c r="B15">
        <f>IF(A15&lt;('2. Inputs and results'!$C$21+1),A15," ")</f>
        <v>10</v>
      </c>
      <c r="C15" s="4">
        <f>IF(A15&lt;('2. Inputs and results'!$C$21+1),'2. Inputs and results'!$C$99+'2. Inputs and results'!$C$101," ")</f>
        <v>24600</v>
      </c>
      <c r="D15" s="4">
        <f>IF(A15&lt;('2. Inputs and results'!$C$21+1),D14+C15,NA())</f>
        <v>246000</v>
      </c>
      <c r="E15" s="4">
        <f>IF(A15&lt;('2. Inputs and results'!$C$21+1),C15/((1+$P$2)^A15)," ")</f>
        <v>16618.878553114646</v>
      </c>
      <c r="F15" s="4">
        <f>IF(B15&lt;('2. Inputs and results'!$C$21+1),F14+E15," ")</f>
        <v>199528.03617213367</v>
      </c>
      <c r="G15" s="4">
        <f>IF(A15&lt;('2. Inputs and results'!$C$21+1),G14*(1+'2. Inputs and results'!$C$44)," ")</f>
        <v>58714.793272316027</v>
      </c>
      <c r="H15" s="4">
        <f>IF(A15&lt;('2. Inputs and results'!$C$21+1),H14*(1+'2. Inputs and results'!$C$56)," ")</f>
        <v>0</v>
      </c>
      <c r="I15" s="4">
        <f>IF(A15&lt;('2. Inputs and results'!$C$21+1),I14*(1+'2. Inputs and results'!$C$32)," ")</f>
        <v>-26617.372950116598</v>
      </c>
      <c r="J15" s="4">
        <f>IF(A15&lt;('2. Inputs and results'!$C$21+1),J14*(1+'2. Inputs and results'!$C$66)," ")</f>
        <v>0</v>
      </c>
      <c r="K15" s="4">
        <f>IF(A15&lt;('2. Inputs and results'!$C$21+1),K14+(G15+I15+H15+J15),NA())</f>
        <v>282011.43106218003</v>
      </c>
      <c r="L15" s="4">
        <f>IF(A15&lt;('2. Inputs and results'!$C$21+1),L14,NA())</f>
        <v>212500</v>
      </c>
      <c r="M15" s="4">
        <f>IF(A15&lt;('2. Inputs and results'!$C$21+1),'2. Inputs and results'!$C$75*'2. Inputs and results'!$C$73," ")</f>
        <v>2500</v>
      </c>
      <c r="N15" s="4">
        <f>IF(A15&lt;('2. Inputs and results'!$C$21+1),M15/((1+$P$2)^A15)," ")</f>
        <v>1688.9104220644963</v>
      </c>
      <c r="O15" s="4">
        <f>IF(A15&lt;('2. Inputs and results'!$C$21+1),'2. Inputs and results'!$C$73*'2. Inputs and results'!$C$75+O14," ")</f>
        <v>235000</v>
      </c>
      <c r="P15" s="4">
        <f>IF(A15&lt;('2. Inputs and results'!$C$21+1),(G15+I15+H15+J15)/((1+$P$2)^A15)," ")</f>
        <v>21683.867081418954</v>
      </c>
      <c r="Q15" s="4">
        <f>IF(A15&lt;('2. Inputs and results'!$C$21+1),Q14+P15," ")</f>
        <v>226561.69061384775</v>
      </c>
      <c r="R15" s="4">
        <f>IF(A15&lt;('2. Inputs and results'!$C$21+1),R14+G15+I15+H15+J15+T15-$V$6,NA())</f>
        <v>20897.403251206953</v>
      </c>
      <c r="S15" s="4">
        <f>IF(A15&lt;('2. Inputs and results'!$C$21+1),'2. Inputs and results'!$C$79*(R14)," ")</f>
        <v>-170.58857001946035</v>
      </c>
      <c r="T15" s="4">
        <f t="shared" si="1"/>
        <v>-170.58857001946035</v>
      </c>
      <c r="U15" s="4">
        <f>IF(A15&lt;('2. Inputs and results'!$C$21+1),U14+((G15+I15+H15+J15-$V$6+T15)/((1+$P$2)^A15)),NA())</f>
        <v>-26548.634527098751</v>
      </c>
      <c r="V15" s="4">
        <f>IF(A15&lt;('2. Inputs and results'!$C$21+1),V14+('2. Inputs and results'!$C$75*'2. Inputs and results'!$C$73)," ")</f>
        <v>25000</v>
      </c>
      <c r="W15" s="4">
        <f>IF(A15&lt;('2. Inputs and results'!$C$21+1),W14+C15+Y15-$V$6,NA())</f>
        <v>-17047.480154679241</v>
      </c>
      <c r="X15" s="4">
        <f>IF(A15&lt;('2. Inputs and results'!$C$21+1),'2. Inputs and results'!$C$79*(W14)," ")</f>
        <v>-767.59765009174987</v>
      </c>
      <c r="Y15" s="4">
        <f t="shared" si="2"/>
        <v>-767.59765009174987</v>
      </c>
      <c r="Z15" s="4">
        <f>IF(A15&lt;('2. Inputs and results'!$C$21+1),Z14+((C15-$V$6+Y15)/((1+$P$2)^A15)),NA())</f>
        <v>-54981.739791237604</v>
      </c>
      <c r="AA15" s="4">
        <f>IF(A15&lt;('2. Inputs and results'!$C$21+1),AA14+G15+I15+H15+T15-$V$6," ")</f>
        <v>233397.40325120694</v>
      </c>
      <c r="AB15" s="20">
        <f>IF(A15&lt;('2. Inputs and results'!$C$21+1),AA15/L15,NA())</f>
        <v>1.0983407211821503</v>
      </c>
      <c r="AC15" s="29">
        <f>IF(A15&lt;('2. Inputs and results'!$C$21+1),AC14+C15+Y15-$V$6," ")</f>
        <v>195452.51984532078</v>
      </c>
      <c r="AD15" s="20">
        <f>IF(A15&lt;('2. Inputs and results'!$C$21+1),AC15/L15,NA())</f>
        <v>0.91977656397798013</v>
      </c>
      <c r="AE15">
        <f>IF(A15&lt;('2. Inputs and results'!$C$21+1),-'2. Inputs and results'!$C$121*A15," ")</f>
        <v>-460000</v>
      </c>
      <c r="AF15">
        <f>IF(A15&lt;('2. Inputs and results'!$C$21+1),AE15/1000,NA())</f>
        <v>-460</v>
      </c>
    </row>
    <row r="16" spans="1:32" x14ac:dyDescent="0.25">
      <c r="A16">
        <f t="shared" si="0"/>
        <v>11</v>
      </c>
      <c r="B16">
        <f>IF(A16&lt;('2. Inputs and results'!$C$21+1),A16," ")</f>
        <v>11</v>
      </c>
      <c r="C16" s="4">
        <f>IF(A16&lt;('2. Inputs and results'!$C$21+1),'2. Inputs and results'!$C$99+'2. Inputs and results'!$C$101," ")</f>
        <v>24600</v>
      </c>
      <c r="D16" s="4">
        <f>IF(A16&lt;('2. Inputs and results'!$C$21+1),D15+C16,NA())</f>
        <v>270600</v>
      </c>
      <c r="E16" s="4">
        <f>IF(A16&lt;('2. Inputs and results'!$C$21+1),C16/((1+$P$2)^A16)," ")</f>
        <v>15979.690916456389</v>
      </c>
      <c r="F16" s="4">
        <f>IF(B16&lt;('2. Inputs and results'!$C$21+1),F15+E16," ")</f>
        <v>215507.72708859007</v>
      </c>
      <c r="G16" s="4">
        <f>IF(A16&lt;('2. Inputs and results'!$C$21+1),G15*(1+'2. Inputs and results'!$C$44)," ")</f>
        <v>60476.237070485506</v>
      </c>
      <c r="H16" s="4">
        <f>IF(A16&lt;('2. Inputs and results'!$C$21+1),H15*(1+'2. Inputs and results'!$C$56)," ")</f>
        <v>0</v>
      </c>
      <c r="I16" s="4">
        <f>IF(A16&lt;('2. Inputs and results'!$C$21+1),I15*(1+'2. Inputs and results'!$C$32)," ")</f>
        <v>-27415.894138620097</v>
      </c>
      <c r="J16" s="4">
        <f>IF(A16&lt;('2. Inputs and results'!$C$21+1),J15*(1+'2. Inputs and results'!$C$66)," ")</f>
        <v>0</v>
      </c>
      <c r="K16" s="4">
        <f>IF(A16&lt;('2. Inputs and results'!$C$21+1),K15+(G16+I16+H16+J16),NA())</f>
        <v>315071.77399404545</v>
      </c>
      <c r="L16" s="4">
        <f>IF(A16&lt;('2. Inputs and results'!$C$21+1),L15,NA())</f>
        <v>212500</v>
      </c>
      <c r="M16" s="4">
        <f>IF(A16&lt;('2. Inputs and results'!$C$21+1),'2. Inputs and results'!$C$75*'2. Inputs and results'!$C$73," ")</f>
        <v>2500</v>
      </c>
      <c r="N16" s="4">
        <f>IF(A16&lt;('2. Inputs and results'!$C$21+1),M16/((1+$P$2)^A16)," ")</f>
        <v>1623.9523289081696</v>
      </c>
      <c r="O16" s="4">
        <f>IF(A16&lt;('2. Inputs and results'!$C$21+1),'2. Inputs and results'!$C$73*'2. Inputs and results'!$C$75+O15," ")</f>
        <v>237500</v>
      </c>
      <c r="P16" s="4">
        <f>IF(A16&lt;('2. Inputs and results'!$C$21+1),(G16+I16+H16+J16)/((1+$P$2)^A16)," ")</f>
        <v>21475.368359482232</v>
      </c>
      <c r="Q16" s="4">
        <f>IF(A16&lt;('2. Inputs and results'!$C$21+1),Q15+P16," ")</f>
        <v>248037.05897332999</v>
      </c>
      <c r="R16" s="4">
        <f>IF(A16&lt;('2. Inputs and results'!$C$21+1),R15+G16+I16+H16+J16+T16-$V$6,NA())</f>
        <v>51457.746183072355</v>
      </c>
      <c r="S16" s="4">
        <f>IF(A16&lt;('2. Inputs and results'!$C$21+1),'2. Inputs and results'!$C$79*(R15)," ")</f>
        <v>417.94806502413905</v>
      </c>
      <c r="T16" s="4">
        <f t="shared" si="1"/>
        <v>0</v>
      </c>
      <c r="U16" s="4">
        <f>IF(A16&lt;('2. Inputs and results'!$C$21+1),U15+((G16+I16+H16+J16-$V$6+T16)/((1+$P$2)^A16)),NA())</f>
        <v>-6697.2184965246888</v>
      </c>
      <c r="V16" s="4">
        <f>IF(A16&lt;('2. Inputs and results'!$C$21+1),V15+('2. Inputs and results'!$C$75*'2. Inputs and results'!$C$73)," ")</f>
        <v>27500</v>
      </c>
      <c r="W16" s="4">
        <f>IF(A16&lt;('2. Inputs and results'!$C$21+1),W15+C16+Y16-$V$6,NA())</f>
        <v>4711.5702422271743</v>
      </c>
      <c r="X16" s="4">
        <f>IF(A16&lt;('2. Inputs and results'!$C$21+1),'2. Inputs and results'!$C$79*(W15)," ")</f>
        <v>-340.94960309358481</v>
      </c>
      <c r="Y16" s="4">
        <f t="shared" si="2"/>
        <v>-340.94960309358481</v>
      </c>
      <c r="Z16" s="4">
        <f>IF(A16&lt;('2. Inputs and results'!$C$21+1),Z15+((C16-$V$6+Y16)/((1+$P$2)^A16)),NA())</f>
        <v>-40847.475564483044</v>
      </c>
      <c r="AA16" s="4">
        <f>IF(A16&lt;('2. Inputs and results'!$C$21+1),AA15+G16+I16+H16+T16-$V$6," ")</f>
        <v>263957.74618307233</v>
      </c>
      <c r="AB16" s="20">
        <f>IF(A16&lt;('2. Inputs and results'!$C$21+1),AA16/L16,NA())</f>
        <v>1.2421540996850462</v>
      </c>
      <c r="AC16" s="29">
        <f>IF(A16&lt;('2. Inputs and results'!$C$21+1),AC15+C16+Y16-$V$6," ")</f>
        <v>217211.5702422272</v>
      </c>
      <c r="AD16" s="20">
        <f>IF(A16&lt;('2. Inputs and results'!$C$21+1),AC16/L16,NA())</f>
        <v>1.0221720952575397</v>
      </c>
      <c r="AE16">
        <f>IF(A16&lt;('2. Inputs and results'!$C$21+1),-'2. Inputs and results'!$C$121*A16," ")</f>
        <v>-506000</v>
      </c>
      <c r="AF16">
        <f>IF(A16&lt;('2. Inputs and results'!$C$21+1),AE16/1000,NA())</f>
        <v>-506</v>
      </c>
    </row>
    <row r="17" spans="1:32" x14ac:dyDescent="0.25">
      <c r="A17">
        <f t="shared" si="0"/>
        <v>12</v>
      </c>
      <c r="B17">
        <f>IF(A17&lt;('2. Inputs and results'!$C$21+1),A17," ")</f>
        <v>12</v>
      </c>
      <c r="C17" s="4">
        <f>IF(A17&lt;('2. Inputs and results'!$C$21+1),'2. Inputs and results'!$C$99+'2. Inputs and results'!$C$101," ")</f>
        <v>24600</v>
      </c>
      <c r="D17" s="4">
        <f>IF(A17&lt;('2. Inputs and results'!$C$21+1),D16+C17,NA())</f>
        <v>295200</v>
      </c>
      <c r="E17" s="4">
        <f>IF(A17&lt;('2. Inputs and results'!$C$21+1),C17/((1+$P$2)^A17)," ")</f>
        <v>15365.087419669602</v>
      </c>
      <c r="F17" s="4">
        <f>IF(B17&lt;('2. Inputs and results'!$C$21+1),F16+E17," ")</f>
        <v>230872.81450825967</v>
      </c>
      <c r="G17" s="4">
        <f>IF(A17&lt;('2. Inputs and results'!$C$21+1),G16*(1+'2. Inputs and results'!$C$44)," ")</f>
        <v>62290.524182600071</v>
      </c>
      <c r="H17" s="4">
        <f>IF(A17&lt;('2. Inputs and results'!$C$21+1),H16*(1+'2. Inputs and results'!$C$56)," ")</f>
        <v>0</v>
      </c>
      <c r="I17" s="4">
        <f>IF(A17&lt;('2. Inputs and results'!$C$21+1),I16*(1+'2. Inputs and results'!$C$32)," ")</f>
        <v>-28238.370962778699</v>
      </c>
      <c r="J17" s="4">
        <f>IF(A17&lt;('2. Inputs and results'!$C$21+1),J16*(1+'2. Inputs and results'!$C$66)," ")</f>
        <v>0</v>
      </c>
      <c r="K17" s="4">
        <f>IF(A17&lt;('2. Inputs and results'!$C$21+1),K16+(G17+I17+H17+J17),NA())</f>
        <v>349123.92721386685</v>
      </c>
      <c r="L17" s="4">
        <f>IF(A17&lt;('2. Inputs and results'!$C$21+1),L16,NA())</f>
        <v>212500</v>
      </c>
      <c r="M17" s="4">
        <f>IF(A17&lt;('2. Inputs and results'!$C$21+1),'2. Inputs and results'!$C$75*'2. Inputs and results'!$C$73," ")</f>
        <v>2500</v>
      </c>
      <c r="N17" s="4">
        <f>IF(A17&lt;('2. Inputs and results'!$C$21+1),M17/((1+$P$2)^A17)," ")</f>
        <v>1561.4926239501629</v>
      </c>
      <c r="O17" s="4">
        <f>IF(A17&lt;('2. Inputs and results'!$C$21+1),'2. Inputs and results'!$C$73*'2. Inputs and results'!$C$75+O16," ")</f>
        <v>240000</v>
      </c>
      <c r="P17" s="4">
        <f>IF(A17&lt;('2. Inputs and results'!$C$21+1),(G17+I17+H17+J17)/((1+$P$2)^A17)," ")</f>
        <v>21268.874432948742</v>
      </c>
      <c r="Q17" s="4">
        <f>IF(A17&lt;('2. Inputs and results'!$C$21+1),Q16+P17," ")</f>
        <v>269305.93340627872</v>
      </c>
      <c r="R17" s="4">
        <f>IF(A17&lt;('2. Inputs and results'!$C$21+1),R16+G17+I17+H17+J17+T17-$V$6,NA())</f>
        <v>83009.899402893716</v>
      </c>
      <c r="S17" s="4">
        <f>IF(A17&lt;('2. Inputs and results'!$C$21+1),'2. Inputs and results'!$C$79*(R16)," ")</f>
        <v>1029.1549236614471</v>
      </c>
      <c r="T17" s="4">
        <f t="shared" si="1"/>
        <v>0</v>
      </c>
      <c r="U17" s="4">
        <f>IF(A17&lt;('2. Inputs and results'!$C$21+1),U16+((G17+I17+H17+J17-$V$6+T17)/((1+$P$2)^A17)),NA())</f>
        <v>13010.163312473891</v>
      </c>
      <c r="V17" s="4">
        <f>IF(A17&lt;('2. Inputs and results'!$C$21+1),V16+('2. Inputs and results'!$C$75*'2. Inputs and results'!$C$73)," ")</f>
        <v>30000</v>
      </c>
      <c r="W17" s="4">
        <f>IF(A17&lt;('2. Inputs and results'!$C$21+1),W16+C17+Y17-$V$6,NA())</f>
        <v>26811.570242227175</v>
      </c>
      <c r="X17" s="4">
        <f>IF(A17&lt;('2. Inputs and results'!$C$21+1),'2. Inputs and results'!$C$79*(W16)," ")</f>
        <v>94.231404844543491</v>
      </c>
      <c r="Y17" s="4">
        <f t="shared" si="2"/>
        <v>0</v>
      </c>
      <c r="Z17" s="4">
        <f>IF(A17&lt;('2. Inputs and results'!$C$21+1),Z16+((C17-$V$6+Y17)/((1+$P$2)^A17)),NA())</f>
        <v>-27043.880768763604</v>
      </c>
      <c r="AA17" s="4">
        <f>IF(A17&lt;('2. Inputs and results'!$C$21+1),AA16+G17+I17+H17+T17-$V$6," ")</f>
        <v>295509.89940289373</v>
      </c>
      <c r="AB17" s="20">
        <f>IF(A17&lt;('2. Inputs and results'!$C$21+1),AA17/L17,NA())</f>
        <v>1.3906348207194998</v>
      </c>
      <c r="AC17" s="29">
        <f>IF(A17&lt;('2. Inputs and results'!$C$21+1),AC16+C17+Y17-$V$6," ")</f>
        <v>239311.5702422272</v>
      </c>
      <c r="AD17" s="20">
        <f>IF(A17&lt;('2. Inputs and results'!$C$21+1),AC17/L17,NA())</f>
        <v>1.1261720952575398</v>
      </c>
      <c r="AE17">
        <f>IF(A17&lt;('2. Inputs and results'!$C$21+1),-'2. Inputs and results'!$C$121*A17," ")</f>
        <v>-552000</v>
      </c>
      <c r="AF17">
        <f>IF(A17&lt;('2. Inputs and results'!$C$21+1),AE17/1000,NA())</f>
        <v>-552</v>
      </c>
    </row>
    <row r="18" spans="1:32" x14ac:dyDescent="0.25">
      <c r="A18">
        <f t="shared" si="0"/>
        <v>13</v>
      </c>
      <c r="B18">
        <f>IF(A18&lt;('2. Inputs and results'!$C$21+1),A18," ")</f>
        <v>13</v>
      </c>
      <c r="C18" s="4">
        <f>IF(A18&lt;('2. Inputs and results'!$C$21+1),'2. Inputs and results'!$C$99+'2. Inputs and results'!$C$101," ")</f>
        <v>24600</v>
      </c>
      <c r="D18" s="4">
        <f>IF(A18&lt;('2. Inputs and results'!$C$21+1),D17+C18,NA())</f>
        <v>319800</v>
      </c>
      <c r="E18" s="4">
        <f>IF(A18&lt;('2. Inputs and results'!$C$21+1),C18/((1+$P$2)^A18)," ")</f>
        <v>14774.122518913078</v>
      </c>
      <c r="F18" s="4">
        <f>IF(B18&lt;('2. Inputs and results'!$C$21+1),F17+E18," ")</f>
        <v>245646.93702717277</v>
      </c>
      <c r="G18" s="4">
        <f>IF(A18&lt;('2. Inputs and results'!$C$21+1),G17*(1+'2. Inputs and results'!$C$44)," ")</f>
        <v>64159.239908078074</v>
      </c>
      <c r="H18" s="4">
        <f>IF(A18&lt;('2. Inputs and results'!$C$21+1),H17*(1+'2. Inputs and results'!$C$56)," ")</f>
        <v>0</v>
      </c>
      <c r="I18" s="4">
        <f>IF(A18&lt;('2. Inputs and results'!$C$21+1),I17*(1+'2. Inputs and results'!$C$32)," ")</f>
        <v>-29085.52209166206</v>
      </c>
      <c r="J18" s="4">
        <f>IF(A18&lt;('2. Inputs and results'!$C$21+1),J17*(1+'2. Inputs and results'!$C$66)," ")</f>
        <v>0</v>
      </c>
      <c r="K18" s="4">
        <f>IF(A18&lt;('2. Inputs and results'!$C$21+1),K17+(G18+I18+H18+J18),NA())</f>
        <v>384197.64503028285</v>
      </c>
      <c r="L18" s="4">
        <f>IF(A18&lt;('2. Inputs and results'!$C$21+1),L17,NA())</f>
        <v>212500</v>
      </c>
      <c r="M18" s="4">
        <f>IF(A18&lt;('2. Inputs and results'!$C$21+1),'2. Inputs and results'!$C$75*'2. Inputs and results'!$C$73," ")</f>
        <v>2500</v>
      </c>
      <c r="N18" s="4">
        <f>IF(A18&lt;('2. Inputs and results'!$C$21+1),M18/((1+$P$2)^A18)," ")</f>
        <v>1501.4352153366949</v>
      </c>
      <c r="O18" s="4">
        <f>IF(A18&lt;('2. Inputs and results'!$C$21+1),'2. Inputs and results'!$C$73*'2. Inputs and results'!$C$75+O17," ")</f>
        <v>242500</v>
      </c>
      <c r="P18" s="4">
        <f>IF(A18&lt;('2. Inputs and results'!$C$21+1),(G18+I18+H18+J18)/((1+$P$2)^A18)," ")</f>
        <v>21064.366024939623</v>
      </c>
      <c r="Q18" s="4">
        <f>IF(A18&lt;('2. Inputs and results'!$C$21+1),Q17+P18," ")</f>
        <v>290370.29943121836</v>
      </c>
      <c r="R18" s="4">
        <f>IF(A18&lt;('2. Inputs and results'!$C$21+1),R17+G18+I18+H18+J18+T18-$V$6,NA())</f>
        <v>115583.61721930972</v>
      </c>
      <c r="S18" s="4">
        <f>IF(A18&lt;('2. Inputs and results'!$C$21+1),'2. Inputs and results'!$C$79*(R17)," ")</f>
        <v>1660.1979880578745</v>
      </c>
      <c r="T18" s="4">
        <f t="shared" si="1"/>
        <v>0</v>
      </c>
      <c r="U18" s="4">
        <f>IF(A18&lt;('2. Inputs and results'!$C$21+1),U17+((G18+I18+H18+J18-$V$6+T18)/((1+$P$2)^A18)),NA())</f>
        <v>32573.094122076818</v>
      </c>
      <c r="V18" s="4">
        <f>IF(A18&lt;('2. Inputs and results'!$C$21+1),V17+('2. Inputs and results'!$C$75*'2. Inputs and results'!$C$73)," ")</f>
        <v>32500</v>
      </c>
      <c r="W18" s="4">
        <f>IF(A18&lt;('2. Inputs and results'!$C$21+1),W17+C18+Y18-$V$6,NA())</f>
        <v>48911.570242227172</v>
      </c>
      <c r="X18" s="4">
        <f>IF(A18&lt;('2. Inputs and results'!$C$21+1),'2. Inputs and results'!$C$79*(W17)," ")</f>
        <v>536.23140484454348</v>
      </c>
      <c r="Y18" s="4">
        <f t="shared" si="2"/>
        <v>0</v>
      </c>
      <c r="Z18" s="4">
        <f>IF(A18&lt;('2. Inputs and results'!$C$21+1),Z17+((C18-$V$6+Y18)/((1+$P$2)^A18)),NA())</f>
        <v>-13771.19346518722</v>
      </c>
      <c r="AA18" s="4">
        <f>IF(A18&lt;('2. Inputs and results'!$C$21+1),AA17+G18+I18+H18+T18-$V$6," ")</f>
        <v>328083.61721930979</v>
      </c>
      <c r="AB18" s="20">
        <f>IF(A18&lt;('2. Inputs and results'!$C$21+1),AA18/L18,NA())</f>
        <v>1.5439229045614578</v>
      </c>
      <c r="AC18" s="29">
        <f>IF(A18&lt;('2. Inputs and results'!$C$21+1),AC17+C18+Y18-$V$6," ")</f>
        <v>261411.57024222717</v>
      </c>
      <c r="AD18" s="20">
        <f>IF(A18&lt;('2. Inputs and results'!$C$21+1),AC18/L18,NA())</f>
        <v>1.2301720952575397</v>
      </c>
      <c r="AE18">
        <f>IF(A18&lt;('2. Inputs and results'!$C$21+1),-'2. Inputs and results'!$C$121*A18," ")</f>
        <v>-598000</v>
      </c>
      <c r="AF18">
        <f>IF(A18&lt;('2. Inputs and results'!$C$21+1),AE18/1000,NA())</f>
        <v>-598</v>
      </c>
    </row>
    <row r="19" spans="1:32" x14ac:dyDescent="0.25">
      <c r="A19">
        <f t="shared" si="0"/>
        <v>14</v>
      </c>
      <c r="B19">
        <f>IF(A19&lt;('2. Inputs and results'!$C$21+1),A19," ")</f>
        <v>14</v>
      </c>
      <c r="C19" s="4">
        <f>IF(A19&lt;('2. Inputs and results'!$C$21+1),'2. Inputs and results'!$C$99+'2. Inputs and results'!$C$101," ")</f>
        <v>24600</v>
      </c>
      <c r="D19" s="4">
        <f>IF(A19&lt;('2. Inputs and results'!$C$21+1),D18+C19,NA())</f>
        <v>344400</v>
      </c>
      <c r="E19" s="4">
        <f>IF(A19&lt;('2. Inputs and results'!$C$21+1),C19/((1+$P$2)^A19)," ")</f>
        <v>14205.887037416422</v>
      </c>
      <c r="F19" s="4">
        <f>IF(B19&lt;('2. Inputs and results'!$C$21+1),F18+E19," ")</f>
        <v>259852.82406458919</v>
      </c>
      <c r="G19" s="4">
        <f>IF(A19&lt;('2. Inputs and results'!$C$21+1),G18*(1+'2. Inputs and results'!$C$44)," ")</f>
        <v>66084.017105320425</v>
      </c>
      <c r="H19" s="4">
        <f>IF(A19&lt;('2. Inputs and results'!$C$21+1),H18*(1+'2. Inputs and results'!$C$56)," ")</f>
        <v>0</v>
      </c>
      <c r="I19" s="4">
        <f>IF(A19&lt;('2. Inputs and results'!$C$21+1),I18*(1+'2. Inputs and results'!$C$32)," ")</f>
        <v>-29958.087754411921</v>
      </c>
      <c r="J19" s="4">
        <f>IF(A19&lt;('2. Inputs and results'!$C$21+1),J18*(1+'2. Inputs and results'!$C$66)," ")</f>
        <v>0</v>
      </c>
      <c r="K19" s="4">
        <f>IF(A19&lt;('2. Inputs and results'!$C$21+1),K18+(G19+I19+H19+J19),NA())</f>
        <v>420323.57438119134</v>
      </c>
      <c r="L19" s="4">
        <f>IF(A19&lt;('2. Inputs and results'!$C$21+1),L18,NA())</f>
        <v>212500</v>
      </c>
      <c r="M19" s="4">
        <f>IF(A19&lt;('2. Inputs and results'!$C$21+1),'2. Inputs and results'!$C$75*'2. Inputs and results'!$C$73," ")</f>
        <v>2500</v>
      </c>
      <c r="N19" s="4">
        <f>IF(A19&lt;('2. Inputs and results'!$C$21+1),M19/((1+$P$2)^A19)," ")</f>
        <v>1443.6877070545145</v>
      </c>
      <c r="O19" s="4">
        <f>IF(A19&lt;('2. Inputs and results'!$C$21+1),'2. Inputs and results'!$C$73*'2. Inputs and results'!$C$75+O18," ")</f>
        <v>245000</v>
      </c>
      <c r="P19" s="4">
        <f>IF(A19&lt;('2. Inputs and results'!$C$21+1),(G19+I19+H19+J19)/((1+$P$2)^A19)," ")</f>
        <v>20861.824043930592</v>
      </c>
      <c r="Q19" s="4">
        <f>IF(A19&lt;('2. Inputs and results'!$C$21+1),Q18+P19," ")</f>
        <v>311232.12347514892</v>
      </c>
      <c r="R19" s="4">
        <f>IF(A19&lt;('2. Inputs and results'!$C$21+1),R18+G19+I19+H19+J19+T19-$V$6,NA())</f>
        <v>149209.54657021823</v>
      </c>
      <c r="S19" s="4">
        <f>IF(A19&lt;('2. Inputs and results'!$C$21+1),'2. Inputs and results'!$C$79*(R18)," ")</f>
        <v>2311.6723443861943</v>
      </c>
      <c r="T19" s="4">
        <f t="shared" si="1"/>
        <v>0</v>
      </c>
      <c r="U19" s="4">
        <f>IF(A19&lt;('2. Inputs and results'!$C$21+1),U18+((G19+I19+H19+J19-$V$6+T19)/((1+$P$2)^A19)),NA())</f>
        <v>51991.230458952894</v>
      </c>
      <c r="V19" s="4">
        <f>IF(A19&lt;('2. Inputs and results'!$C$21+1),V18+('2. Inputs and results'!$C$75*'2. Inputs and results'!$C$73)," ")</f>
        <v>35000</v>
      </c>
      <c r="W19" s="4">
        <f>IF(A19&lt;('2. Inputs and results'!$C$21+1),W18+C19+Y19-$V$6,NA())</f>
        <v>71011.570242227172</v>
      </c>
      <c r="X19" s="4">
        <f>IF(A19&lt;('2. Inputs and results'!$C$21+1),'2. Inputs and results'!$C$79*(W18)," ")</f>
        <v>978.23140484454348</v>
      </c>
      <c r="Y19" s="4">
        <f t="shared" si="2"/>
        <v>0</v>
      </c>
      <c r="Z19" s="4">
        <f>IF(A19&lt;('2. Inputs and results'!$C$21+1),Z18+((C19-$V$6+Y19)/((1+$P$2)^A19)),NA())</f>
        <v>-1008.9941348253124</v>
      </c>
      <c r="AA19" s="4">
        <f>IF(A19&lt;('2. Inputs and results'!$C$21+1),AA18+G19+I19+H19+T19-$V$6," ")</f>
        <v>361709.54657021828</v>
      </c>
      <c r="AB19" s="20">
        <f>IF(A19&lt;('2. Inputs and results'!$C$21+1),AA19/L19,NA())</f>
        <v>1.7021625720951448</v>
      </c>
      <c r="AC19" s="29">
        <f>IF(A19&lt;('2. Inputs and results'!$C$21+1),AC18+C19+Y19-$V$6," ")</f>
        <v>283511.57024222717</v>
      </c>
      <c r="AD19" s="20">
        <f>IF(A19&lt;('2. Inputs and results'!$C$21+1),AC19/L19,NA())</f>
        <v>1.3341720952575395</v>
      </c>
      <c r="AE19">
        <f>IF(A19&lt;('2. Inputs and results'!$C$21+1),-'2. Inputs and results'!$C$121*A19," ")</f>
        <v>-644000</v>
      </c>
      <c r="AF19">
        <f>IF(A19&lt;('2. Inputs and results'!$C$21+1),AE19/1000,NA())</f>
        <v>-644</v>
      </c>
    </row>
    <row r="20" spans="1:32" x14ac:dyDescent="0.25">
      <c r="A20">
        <f t="shared" si="0"/>
        <v>15</v>
      </c>
      <c r="B20">
        <f>IF(A20&lt;('2. Inputs and results'!$C$21+1),A20," ")</f>
        <v>15</v>
      </c>
      <c r="C20" s="4">
        <f>IF(A20&lt;('2. Inputs and results'!$C$21+1),'2. Inputs and results'!$C$99+'2. Inputs and results'!$C$101," ")</f>
        <v>24600</v>
      </c>
      <c r="D20" s="4">
        <f>IF(A20&lt;('2. Inputs and results'!$C$21+1),D19+C20,NA())</f>
        <v>369000</v>
      </c>
      <c r="E20" s="4">
        <f>IF(A20&lt;('2. Inputs and results'!$C$21+1),C20/((1+$P$2)^A20)," ")</f>
        <v>13659.506766746561</v>
      </c>
      <c r="F20" s="4">
        <f>IF(B20&lt;('2. Inputs and results'!$C$21+1),F19+E20," ")</f>
        <v>273512.33083133574</v>
      </c>
      <c r="G20" s="4">
        <f>IF(A20&lt;('2. Inputs and results'!$C$21+1),G19*(1+'2. Inputs and results'!$C$44)," ")</f>
        <v>68066.537618480041</v>
      </c>
      <c r="H20" s="4">
        <f>IF(A20&lt;('2. Inputs and results'!$C$21+1),H19*(1+'2. Inputs and results'!$C$56)," ")</f>
        <v>0</v>
      </c>
      <c r="I20" s="4">
        <f>IF(A20&lt;('2. Inputs and results'!$C$21+1),I19*(1+'2. Inputs and results'!$C$32)," ")</f>
        <v>-30856.83038704428</v>
      </c>
      <c r="J20" s="4">
        <f>IF(A20&lt;('2. Inputs and results'!$C$21+1),J19*(1+'2. Inputs and results'!$C$66)," ")</f>
        <v>0</v>
      </c>
      <c r="K20" s="4">
        <f>IF(A20&lt;('2. Inputs and results'!$C$21+1),K19+(G20+I20+H20+J20),NA())</f>
        <v>457533.28161262709</v>
      </c>
      <c r="L20" s="4">
        <f>IF(A20&lt;('2. Inputs and results'!$C$21+1),L19,NA())</f>
        <v>212500</v>
      </c>
      <c r="M20" s="4">
        <f>IF(A20&lt;('2. Inputs and results'!$C$21+1),'2. Inputs and results'!$C$75*'2. Inputs and results'!$C$73," ")</f>
        <v>2500</v>
      </c>
      <c r="N20" s="4">
        <f>IF(A20&lt;('2. Inputs and results'!$C$21+1),M20/((1+$P$2)^A20)," ")</f>
        <v>1388.1612567831869</v>
      </c>
      <c r="O20" s="4">
        <f>IF(A20&lt;('2. Inputs and results'!$C$21+1),'2. Inputs and results'!$C$73*'2. Inputs and results'!$C$75+O19," ")</f>
        <v>247500</v>
      </c>
      <c r="P20" s="4">
        <f>IF(A20&lt;('2. Inputs and results'!$C$21+1),(G20+I20+H20+J20)/((1+$P$2)^A20)," ")</f>
        <v>20661.229581969725</v>
      </c>
      <c r="Q20" s="4">
        <f>IF(A20&lt;('2. Inputs and results'!$C$21+1),Q19+P20," ")</f>
        <v>331893.35305711866</v>
      </c>
      <c r="R20" s="4">
        <f>IF(A20&lt;('2. Inputs and results'!$C$21+1),R19+G20+I20+H20+J20+T20-$V$6,NA())</f>
        <v>183919.25380165398</v>
      </c>
      <c r="S20" s="4">
        <f>IF(A20&lt;('2. Inputs and results'!$C$21+1),'2. Inputs and results'!$C$79*(R19)," ")</f>
        <v>2984.1909314043646</v>
      </c>
      <c r="T20" s="4">
        <f t="shared" si="1"/>
        <v>0</v>
      </c>
      <c r="U20" s="4">
        <f>IF(A20&lt;('2. Inputs and results'!$C$21+1),U19+((G20+I20+H20+J20-$V$6+T20)/((1+$P$2)^A20)),NA())</f>
        <v>71264.298784139435</v>
      </c>
      <c r="V20" s="4">
        <f>IF(A20&lt;('2. Inputs and results'!$C$21+1),V19+('2. Inputs and results'!$C$75*'2. Inputs and results'!$C$73)," ")</f>
        <v>37500</v>
      </c>
      <c r="W20" s="4">
        <f>IF(A20&lt;('2. Inputs and results'!$C$21+1),W19+C20+Y20-$V$6,NA())</f>
        <v>93111.570242227172</v>
      </c>
      <c r="X20" s="4">
        <f>IF(A20&lt;('2. Inputs and results'!$C$21+1),'2. Inputs and results'!$C$79*(W19)," ")</f>
        <v>1420.2314048445435</v>
      </c>
      <c r="Y20" s="4">
        <f t="shared" si="2"/>
        <v>0</v>
      </c>
      <c r="Z20" s="4">
        <f>IF(A20&lt;('2. Inputs and results'!$C$21+1),Z19+((C20-$V$6+Y20)/((1+$P$2)^A20)),NA())</f>
        <v>11262.351375138061</v>
      </c>
      <c r="AA20" s="4">
        <f>IF(A20&lt;('2. Inputs and results'!$C$21+1),AA19+G20+I20+H20+T20-$V$6," ")</f>
        <v>396419.25380165403</v>
      </c>
      <c r="AB20" s="20">
        <f>IF(A20&lt;('2. Inputs and results'!$C$21+1),AA20/L20,NA())</f>
        <v>1.8655023708313132</v>
      </c>
      <c r="AC20" s="29">
        <f>IF(A20&lt;('2. Inputs and results'!$C$21+1),AC19+C20+Y20-$V$6," ")</f>
        <v>305611.57024222717</v>
      </c>
      <c r="AD20" s="20">
        <f>IF(A20&lt;('2. Inputs and results'!$C$21+1),AC20/L20,NA())</f>
        <v>1.4381720952575396</v>
      </c>
      <c r="AE20">
        <f>IF(A20&lt;('2. Inputs and results'!$C$21+1),-'2. Inputs and results'!$C$121*A20," ")</f>
        <v>-690000</v>
      </c>
      <c r="AF20">
        <f>IF(A20&lt;('2. Inputs and results'!$C$21+1),AE20/1000,NA())</f>
        <v>-690</v>
      </c>
    </row>
    <row r="21" spans="1:32" x14ac:dyDescent="0.25">
      <c r="A21">
        <f t="shared" si="0"/>
        <v>16</v>
      </c>
      <c r="B21">
        <f>IF(A21&lt;('2. Inputs and results'!$C$21+1),A21," ")</f>
        <v>16</v>
      </c>
      <c r="C21" s="4">
        <f>IF(A21&lt;('2. Inputs and results'!$C$21+1),'2. Inputs and results'!$C$99+'2. Inputs and results'!$C$101," ")</f>
        <v>24600</v>
      </c>
      <c r="D21" s="4">
        <f>IF(A21&lt;('2. Inputs and results'!$C$21+1),D20+C21,NA())</f>
        <v>393600</v>
      </c>
      <c r="E21" s="4">
        <f>IF(A21&lt;('2. Inputs and results'!$C$21+1),C21/((1+$P$2)^A21)," ")</f>
        <v>13134.141121871689</v>
      </c>
      <c r="F21" s="4">
        <f>IF(B21&lt;('2. Inputs and results'!$C$21+1),F20+E21," ")</f>
        <v>286646.47195320745</v>
      </c>
      <c r="G21" s="4">
        <f>IF(A21&lt;('2. Inputs and results'!$C$21+1),G20*(1+'2. Inputs and results'!$C$44)," ")</f>
        <v>70108.533747034438</v>
      </c>
      <c r="H21" s="4">
        <f>IF(A21&lt;('2. Inputs and results'!$C$21+1),H20*(1+'2. Inputs and results'!$C$56)," ")</f>
        <v>0</v>
      </c>
      <c r="I21" s="4">
        <f>IF(A21&lt;('2. Inputs and results'!$C$21+1),I20*(1+'2. Inputs and results'!$C$32)," ")</f>
        <v>-31782.53529865561</v>
      </c>
      <c r="J21" s="4">
        <f>IF(A21&lt;('2. Inputs and results'!$C$21+1),J20*(1+'2. Inputs and results'!$C$66)," ")</f>
        <v>0</v>
      </c>
      <c r="K21" s="4">
        <f>IF(A21&lt;('2. Inputs and results'!$C$21+1),K20+(G21+I21+H21+J21),NA())</f>
        <v>495859.28006100591</v>
      </c>
      <c r="L21" s="4">
        <f>IF(A21&lt;('2. Inputs and results'!$C$21+1),L20,NA())</f>
        <v>212500</v>
      </c>
      <c r="M21" s="4">
        <f>IF(A21&lt;('2. Inputs and results'!$C$21+1),'2. Inputs and results'!$C$75*'2. Inputs and results'!$C$73," ")</f>
        <v>2500</v>
      </c>
      <c r="N21" s="4">
        <f>IF(A21&lt;('2. Inputs and results'!$C$21+1),M21/((1+$P$2)^A21)," ")</f>
        <v>1334.7704392146027</v>
      </c>
      <c r="O21" s="4">
        <f>IF(A21&lt;('2. Inputs and results'!$C$21+1),'2. Inputs and results'!$C$73*'2. Inputs and results'!$C$75+O20," ")</f>
        <v>250000</v>
      </c>
      <c r="P21" s="4">
        <f>IF(A21&lt;('2. Inputs and results'!$C$21+1),(G21+I21+H21+J21)/((1+$P$2)^A21)," ")</f>
        <v>20462.563912912316</v>
      </c>
      <c r="Q21" s="4">
        <f>IF(A21&lt;('2. Inputs and results'!$C$21+1),Q20+P21," ")</f>
        <v>352355.91697003099</v>
      </c>
      <c r="R21" s="4">
        <f>IF(A21&lt;('2. Inputs and results'!$C$21+1),R20+G21+I21+H21+J21+T21-$V$6,NA())</f>
        <v>219745.25225003279</v>
      </c>
      <c r="S21" s="4">
        <f>IF(A21&lt;('2. Inputs and results'!$C$21+1),'2. Inputs and results'!$C$79*(R20)," ")</f>
        <v>3678.3850760330797</v>
      </c>
      <c r="T21" s="4">
        <f t="shared" si="1"/>
        <v>0</v>
      </c>
      <c r="U21" s="4">
        <f>IF(A21&lt;('2. Inputs and results'!$C$21+1),U20+((G21+I21+H21+J21-$V$6+T21)/((1+$P$2)^A21)),NA())</f>
        <v>90392.092257837154</v>
      </c>
      <c r="V21" s="4">
        <f>IF(A21&lt;('2. Inputs and results'!$C$21+1),V20+('2. Inputs and results'!$C$75*'2. Inputs and results'!$C$73)," ")</f>
        <v>40000</v>
      </c>
      <c r="W21" s="4">
        <f>IF(A21&lt;('2. Inputs and results'!$C$21+1),W20+C21+Y21-$V$6,NA())</f>
        <v>115211.57024222717</v>
      </c>
      <c r="X21" s="4">
        <f>IF(A21&lt;('2. Inputs and results'!$C$21+1),'2. Inputs and results'!$C$79*(W20)," ")</f>
        <v>1862.2314048445435</v>
      </c>
      <c r="Y21" s="4">
        <f t="shared" si="2"/>
        <v>0</v>
      </c>
      <c r="Z21" s="4">
        <f>IF(A21&lt;('2. Inputs and results'!$C$21+1),Z20+((C21-$V$6+Y21)/((1+$P$2)^A21)),NA())</f>
        <v>23061.722057795148</v>
      </c>
      <c r="AA21" s="4">
        <f>IF(A21&lt;('2. Inputs and results'!$C$21+1),AA20+G21+I21+H21+T21-$V$6," ")</f>
        <v>432245.25225003285</v>
      </c>
      <c r="AB21" s="20">
        <f>IF(A21&lt;('2. Inputs and results'!$C$21+1),AA21/L21,NA())</f>
        <v>2.0340953047060371</v>
      </c>
      <c r="AC21" s="29">
        <f>IF(A21&lt;('2. Inputs and results'!$C$21+1),AC20+C21+Y21-$V$6," ")</f>
        <v>327711.57024222717</v>
      </c>
      <c r="AD21" s="20">
        <f>IF(A21&lt;('2. Inputs and results'!$C$21+1),AC21/L21,NA())</f>
        <v>1.5421720952575397</v>
      </c>
      <c r="AE21">
        <f>IF(A21&lt;('2. Inputs and results'!$C$21+1),-'2. Inputs and results'!$C$121*A21," ")</f>
        <v>-736000</v>
      </c>
      <c r="AF21">
        <f>IF(A21&lt;('2. Inputs and results'!$C$21+1),AE21/1000,NA())</f>
        <v>-736</v>
      </c>
    </row>
    <row r="22" spans="1:32" x14ac:dyDescent="0.25">
      <c r="A22">
        <f t="shared" si="0"/>
        <v>17</v>
      </c>
      <c r="B22">
        <f>IF(A22&lt;('2. Inputs and results'!$C$21+1),A22," ")</f>
        <v>17</v>
      </c>
      <c r="C22" s="4">
        <f>IF(A22&lt;('2. Inputs and results'!$C$21+1),'2. Inputs and results'!$C$99+'2. Inputs and results'!$C$101," ")</f>
        <v>24600</v>
      </c>
      <c r="D22" s="4">
        <f>IF(A22&lt;('2. Inputs and results'!$C$21+1),D21+C22,NA())</f>
        <v>418200</v>
      </c>
      <c r="E22" s="4">
        <f>IF(A22&lt;('2. Inputs and results'!$C$21+1),C22/((1+$P$2)^A22)," ")</f>
        <v>12628.981847953548</v>
      </c>
      <c r="F22" s="4">
        <f>IF(B22&lt;('2. Inputs and results'!$C$21+1),F21+E22," ")</f>
        <v>299275.45380116103</v>
      </c>
      <c r="G22" s="4">
        <f>IF(A22&lt;('2. Inputs and results'!$C$21+1),G21*(1+'2. Inputs and results'!$C$44)," ")</f>
        <v>72211.78975944547</v>
      </c>
      <c r="H22" s="4">
        <f>IF(A22&lt;('2. Inputs and results'!$C$21+1),H21*(1+'2. Inputs and results'!$C$56)," ")</f>
        <v>0</v>
      </c>
      <c r="I22" s="4">
        <f>IF(A22&lt;('2. Inputs and results'!$C$21+1),I21*(1+'2. Inputs and results'!$C$32)," ")</f>
        <v>-32736.01135761528</v>
      </c>
      <c r="J22" s="4">
        <f>IF(A22&lt;('2. Inputs and results'!$C$21+1),J21*(1+'2. Inputs and results'!$C$66)," ")</f>
        <v>0</v>
      </c>
      <c r="K22" s="4">
        <f>IF(A22&lt;('2. Inputs and results'!$C$21+1),K21+(G22+I22+H22+J22),NA())</f>
        <v>535335.05846283608</v>
      </c>
      <c r="L22" s="4">
        <f>IF(A22&lt;('2. Inputs and results'!$C$21+1),L21,NA())</f>
        <v>212500</v>
      </c>
      <c r="M22" s="4">
        <f>IF(A22&lt;('2. Inputs and results'!$C$21+1),'2. Inputs and results'!$C$75*'2. Inputs and results'!$C$73," ")</f>
        <v>2500</v>
      </c>
      <c r="N22" s="4">
        <f>IF(A22&lt;('2. Inputs and results'!$C$21+1),M22/((1+$P$2)^A22)," ")</f>
        <v>1283.4331146294255</v>
      </c>
      <c r="O22" s="4">
        <f>IF(A22&lt;('2. Inputs and results'!$C$21+1),'2. Inputs and results'!$C$73*'2. Inputs and results'!$C$75+O21," ")</f>
        <v>252500</v>
      </c>
      <c r="P22" s="4">
        <f>IF(A22&lt;('2. Inputs and results'!$C$21+1),(G22+I22+H22+J22)/((1+$P$2)^A22)," ")</f>
        <v>20265.808490672771</v>
      </c>
      <c r="Q22" s="4">
        <f>IF(A22&lt;('2. Inputs and results'!$C$21+1),Q21+P22," ")</f>
        <v>372621.72546070378</v>
      </c>
      <c r="R22" s="4">
        <f>IF(A22&lt;('2. Inputs and results'!$C$21+1),R21+G22+I22+H22+J22+T22-$V$6,NA())</f>
        <v>256721.03065186297</v>
      </c>
      <c r="S22" s="4">
        <f>IF(A22&lt;('2. Inputs and results'!$C$21+1),'2. Inputs and results'!$C$79*(R21)," ")</f>
        <v>4394.9050450006562</v>
      </c>
      <c r="T22" s="4">
        <f t="shared" si="1"/>
        <v>0</v>
      </c>
      <c r="U22" s="4">
        <f>IF(A22&lt;('2. Inputs and results'!$C$21+1),U21+((G22+I22+H22+J22-$V$6+T22)/((1+$P$2)^A22)),NA())</f>
        <v>109374.4676338805</v>
      </c>
      <c r="V22" s="4">
        <f>IF(A22&lt;('2. Inputs and results'!$C$21+1),V21+('2. Inputs and results'!$C$75*'2. Inputs and results'!$C$73)," ")</f>
        <v>42500</v>
      </c>
      <c r="W22" s="4">
        <f>IF(A22&lt;('2. Inputs and results'!$C$21+1),W21+C22+Y22-$V$6,NA())</f>
        <v>137311.57024222717</v>
      </c>
      <c r="X22" s="4">
        <f>IF(A22&lt;('2. Inputs and results'!$C$21+1),'2. Inputs and results'!$C$79*(W21)," ")</f>
        <v>2304.2314048445437</v>
      </c>
      <c r="Y22" s="4">
        <f t="shared" si="2"/>
        <v>0</v>
      </c>
      <c r="Z22" s="4">
        <f>IF(A22&lt;('2. Inputs and results'!$C$21+1),Z21+((C22-$V$6+Y22)/((1+$P$2)^A22)),NA())</f>
        <v>34407.27079111927</v>
      </c>
      <c r="AA22" s="4">
        <f>IF(A22&lt;('2. Inputs and results'!$C$21+1),AA21+G22+I22+H22+T22-$V$6," ")</f>
        <v>469221.03065186302</v>
      </c>
      <c r="AB22" s="20">
        <f>IF(A22&lt;('2. Inputs and results'!$C$21+1),AA22/L22,NA())</f>
        <v>2.208098967773473</v>
      </c>
      <c r="AC22" s="29">
        <f>IF(A22&lt;('2. Inputs and results'!$C$21+1),AC21+C22+Y22-$V$6," ")</f>
        <v>349811.57024222717</v>
      </c>
      <c r="AD22" s="20">
        <f>IF(A22&lt;('2. Inputs and results'!$C$21+1),AC22/L22,NA())</f>
        <v>1.6461720952575396</v>
      </c>
      <c r="AE22">
        <f>IF(A22&lt;('2. Inputs and results'!$C$21+1),-'2. Inputs and results'!$C$121*A22," ")</f>
        <v>-782000</v>
      </c>
      <c r="AF22">
        <f>IF(A22&lt;('2. Inputs and results'!$C$21+1),AE22/1000,NA())</f>
        <v>-782</v>
      </c>
    </row>
    <row r="23" spans="1:32" x14ac:dyDescent="0.25">
      <c r="A23">
        <f t="shared" si="0"/>
        <v>18</v>
      </c>
      <c r="B23">
        <f>IF(A23&lt;('2. Inputs and results'!$C$21+1),A23," ")</f>
        <v>18</v>
      </c>
      <c r="C23" s="4">
        <f>IF(A23&lt;('2. Inputs and results'!$C$21+1),'2. Inputs and results'!$C$99+'2. Inputs and results'!$C$101," ")</f>
        <v>24600</v>
      </c>
      <c r="D23" s="4">
        <f>IF(A23&lt;('2. Inputs and results'!$C$21+1),D22+C23,NA())</f>
        <v>442800</v>
      </c>
      <c r="E23" s="4">
        <f>IF(A23&lt;('2. Inputs and results'!$C$21+1),C23/((1+$P$2)^A23)," ")</f>
        <v>12143.251776878409</v>
      </c>
      <c r="F23" s="4">
        <f>IF(B23&lt;('2. Inputs and results'!$C$21+1),F22+E23," ")</f>
        <v>311418.70557803946</v>
      </c>
      <c r="G23" s="4">
        <f>IF(A23&lt;('2. Inputs and results'!$C$21+1),G22*(1+'2. Inputs and results'!$C$44)," ")</f>
        <v>74378.143452228833</v>
      </c>
      <c r="H23" s="4">
        <f>IF(A23&lt;('2. Inputs and results'!$C$21+1),H22*(1+'2. Inputs and results'!$C$56)," ")</f>
        <v>0</v>
      </c>
      <c r="I23" s="4">
        <f>IF(A23&lt;('2. Inputs and results'!$C$21+1),I22*(1+'2. Inputs and results'!$C$32)," ")</f>
        <v>-33718.091698343742</v>
      </c>
      <c r="J23" s="4">
        <f>IF(A23&lt;('2. Inputs and results'!$C$21+1),J22*(1+'2. Inputs and results'!$C$66)," ")</f>
        <v>0</v>
      </c>
      <c r="K23" s="4">
        <f>IF(A23&lt;('2. Inputs and results'!$C$21+1),K22+(G23+I23+H23+J23),NA())</f>
        <v>575995.11021672119</v>
      </c>
      <c r="L23" s="4">
        <f>IF(A23&lt;('2. Inputs and results'!$C$21+1),L22,NA())</f>
        <v>212500</v>
      </c>
      <c r="M23" s="4">
        <f>IF(A23&lt;('2. Inputs and results'!$C$21+1),'2. Inputs and results'!$C$75*'2. Inputs and results'!$C$73," ")</f>
        <v>2500</v>
      </c>
      <c r="N23" s="4">
        <f>IF(A23&lt;('2. Inputs and results'!$C$21+1),M23/((1+$P$2)^A23)," ")</f>
        <v>1234.0703025282937</v>
      </c>
      <c r="O23" s="4">
        <f>IF(A23&lt;('2. Inputs and results'!$C$21+1),'2. Inputs and results'!$C$73*'2. Inputs and results'!$C$75+O22," ")</f>
        <v>255000</v>
      </c>
      <c r="P23" s="4">
        <f>IF(A23&lt;('2. Inputs and results'!$C$21+1),(G23+I23+H23+J23)/((1+$P$2)^A23)," ")</f>
        <v>20070.944947493223</v>
      </c>
      <c r="Q23" s="4">
        <f>IF(A23&lt;('2. Inputs and results'!$C$21+1),Q22+P23," ")</f>
        <v>392692.67040819698</v>
      </c>
      <c r="R23" s="4">
        <f>IF(A23&lt;('2. Inputs and results'!$C$21+1),R22+G23+I23+H23+J23+T23-$V$6,NA())</f>
        <v>294881.08240574808</v>
      </c>
      <c r="S23" s="4">
        <f>IF(A23&lt;('2. Inputs and results'!$C$21+1),'2. Inputs and results'!$C$79*(R22)," ")</f>
        <v>5134.4206130372595</v>
      </c>
      <c r="T23" s="4">
        <f t="shared" si="1"/>
        <v>0</v>
      </c>
      <c r="U23" s="4">
        <f>IF(A23&lt;('2. Inputs and results'!$C$21+1),U22+((G23+I23+H23+J23-$V$6+T23)/((1+$P$2)^A23)),NA())</f>
        <v>128211.34227884543</v>
      </c>
      <c r="V23" s="4">
        <f>IF(A23&lt;('2. Inputs and results'!$C$21+1),V22+('2. Inputs and results'!$C$75*'2. Inputs and results'!$C$73)," ")</f>
        <v>45000</v>
      </c>
      <c r="W23" s="4">
        <f>IF(A23&lt;('2. Inputs and results'!$C$21+1),W22+C23+Y23-$V$6,NA())</f>
        <v>159411.57024222717</v>
      </c>
      <c r="X23" s="4">
        <f>IF(A23&lt;('2. Inputs and results'!$C$21+1),'2. Inputs and results'!$C$79*(W22)," ")</f>
        <v>2746.2314048445437</v>
      </c>
      <c r="Y23" s="4">
        <f t="shared" si="2"/>
        <v>0</v>
      </c>
      <c r="Z23" s="4">
        <f>IF(A23&lt;('2. Inputs and results'!$C$21+1),Z22+((C23-$V$6+Y23)/((1+$P$2)^A23)),NA())</f>
        <v>45316.452265469386</v>
      </c>
      <c r="AA23" s="4">
        <f>IF(A23&lt;('2. Inputs and results'!$C$21+1),AA22+G23+I23+H23+T23-$V$6," ")</f>
        <v>507381.08240574808</v>
      </c>
      <c r="AB23" s="20">
        <f>IF(A23&lt;('2. Inputs and results'!$C$21+1),AA23/L23,NA())</f>
        <v>2.3876756819094029</v>
      </c>
      <c r="AC23" s="29">
        <f>IF(A23&lt;('2. Inputs and results'!$C$21+1),AC22+C23+Y23-$V$6," ")</f>
        <v>371911.57024222717</v>
      </c>
      <c r="AD23" s="20">
        <f>IF(A23&lt;('2. Inputs and results'!$C$21+1),AC23/L23,NA())</f>
        <v>1.7501720952575397</v>
      </c>
      <c r="AE23">
        <f>IF(A23&lt;('2. Inputs and results'!$C$21+1),-'2. Inputs and results'!$C$121*A23," ")</f>
        <v>-828000</v>
      </c>
      <c r="AF23">
        <f>IF(A23&lt;('2. Inputs and results'!$C$21+1),AE23/1000,NA())</f>
        <v>-828</v>
      </c>
    </row>
    <row r="24" spans="1:32" x14ac:dyDescent="0.25">
      <c r="A24">
        <f t="shared" si="0"/>
        <v>19</v>
      </c>
      <c r="B24">
        <f>IF(A24&lt;('2. Inputs and results'!$C$21+1),A24," ")</f>
        <v>19</v>
      </c>
      <c r="C24" s="4">
        <f>IF(A24&lt;('2. Inputs and results'!$C$21+1),'2. Inputs and results'!$C$99+'2. Inputs and results'!$C$101," ")</f>
        <v>24600</v>
      </c>
      <c r="D24" s="4">
        <f>IF(A24&lt;('2. Inputs and results'!$C$21+1),D23+C24,NA())</f>
        <v>467400</v>
      </c>
      <c r="E24" s="4">
        <f>IF(A24&lt;('2. Inputs and results'!$C$21+1),C24/((1+$P$2)^A24)," ")</f>
        <v>11676.203631613856</v>
      </c>
      <c r="F24" s="4">
        <f>IF(B24&lt;('2. Inputs and results'!$C$21+1),F23+E24," ")</f>
        <v>323094.90920965333</v>
      </c>
      <c r="G24" s="4">
        <f>IF(A24&lt;('2. Inputs and results'!$C$21+1),G23*(1+'2. Inputs and results'!$C$44)," ")</f>
        <v>76609.487755795693</v>
      </c>
      <c r="H24" s="4">
        <f>IF(A24&lt;('2. Inputs and results'!$C$21+1),H23*(1+'2. Inputs and results'!$C$56)," ")</f>
        <v>0</v>
      </c>
      <c r="I24" s="4">
        <f>IF(A24&lt;('2. Inputs and results'!$C$21+1),I23*(1+'2. Inputs and results'!$C$32)," ")</f>
        <v>-34729.634449294055</v>
      </c>
      <c r="J24" s="4">
        <f>IF(A24&lt;('2. Inputs and results'!$C$21+1),J23*(1+'2. Inputs and results'!$C$66)," ")</f>
        <v>0</v>
      </c>
      <c r="K24" s="4">
        <f>IF(A24&lt;('2. Inputs and results'!$C$21+1),K23+(G24+I24+H24+J24),NA())</f>
        <v>617874.96352322283</v>
      </c>
      <c r="L24" s="4">
        <f>IF(A24&lt;('2. Inputs and results'!$C$21+1),L23,NA())</f>
        <v>212500</v>
      </c>
      <c r="M24" s="4">
        <f>IF(A24&lt;('2. Inputs and results'!$C$21+1),'2. Inputs and results'!$C$75*'2. Inputs and results'!$C$73," ")</f>
        <v>2500</v>
      </c>
      <c r="N24" s="4">
        <f>IF(A24&lt;('2. Inputs and results'!$C$21+1),M24/((1+$P$2)^A24)," ")</f>
        <v>1186.6060601233594</v>
      </c>
      <c r="O24" s="4">
        <f>IF(A24&lt;('2. Inputs and results'!$C$21+1),'2. Inputs and results'!$C$73*'2. Inputs and results'!$C$75+O23," ")</f>
        <v>257500</v>
      </c>
      <c r="P24" s="4">
        <f>IF(A24&lt;('2. Inputs and results'!$C$21+1),(G24+I24+H24+J24)/((1+$P$2)^A24)," ")</f>
        <v>19877.955092228862</v>
      </c>
      <c r="Q24" s="4">
        <f>IF(A24&lt;('2. Inputs and results'!$C$21+1),Q23+P24," ")</f>
        <v>412570.62550042581</v>
      </c>
      <c r="R24" s="4">
        <f>IF(A24&lt;('2. Inputs and results'!$C$21+1),R23+G24+I24+H24+J24+T24-$V$6,NA())</f>
        <v>334260.93571224972</v>
      </c>
      <c r="S24" s="4">
        <f>IF(A24&lt;('2. Inputs and results'!$C$21+1),'2. Inputs and results'!$C$79*(R23)," ")</f>
        <v>5897.6216481149613</v>
      </c>
      <c r="T24" s="4">
        <f t="shared" si="1"/>
        <v>0</v>
      </c>
      <c r="U24" s="4">
        <f>IF(A24&lt;('2. Inputs and results'!$C$21+1),U23+((G24+I24+H24+J24-$V$6+T24)/((1+$P$2)^A24)),NA())</f>
        <v>146902.69131095093</v>
      </c>
      <c r="V24" s="4">
        <f>IF(A24&lt;('2. Inputs and results'!$C$21+1),V23+('2. Inputs and results'!$C$75*'2. Inputs and results'!$C$73)," ")</f>
        <v>47500</v>
      </c>
      <c r="W24" s="4">
        <f>IF(A24&lt;('2. Inputs and results'!$C$21+1),W23+C24+Y24-$V$6,NA())</f>
        <v>181511.57024222717</v>
      </c>
      <c r="X24" s="4">
        <f>IF(A24&lt;('2. Inputs and results'!$C$21+1),'2. Inputs and results'!$C$79*(W23)," ")</f>
        <v>3188.2314048445437</v>
      </c>
      <c r="Y24" s="4">
        <f t="shared" si="2"/>
        <v>0</v>
      </c>
      <c r="Z24" s="4">
        <f>IF(A24&lt;('2. Inputs and results'!$C$21+1),Z23+((C24-$V$6+Y24)/((1+$P$2)^A24)),NA())</f>
        <v>55806.049836959879</v>
      </c>
      <c r="AA24" s="4">
        <f>IF(A24&lt;('2. Inputs and results'!$C$21+1),AA23+G24+I24+H24+T24-$V$6," ")</f>
        <v>546760.93571224972</v>
      </c>
      <c r="AB24" s="20">
        <f>IF(A24&lt;('2. Inputs and results'!$C$21+1),AA24/L24,NA())</f>
        <v>2.5729926386458812</v>
      </c>
      <c r="AC24" s="29">
        <f>IF(A24&lt;('2. Inputs and results'!$C$21+1),AC23+C24+Y24-$V$6," ")</f>
        <v>394011.57024222717</v>
      </c>
      <c r="AD24" s="20">
        <f>IF(A24&lt;('2. Inputs and results'!$C$21+1),AC24/L24,NA())</f>
        <v>1.8541720952575396</v>
      </c>
      <c r="AE24">
        <f>IF(A24&lt;('2. Inputs and results'!$C$21+1),-'2. Inputs and results'!$C$121*A24," ")</f>
        <v>-874000</v>
      </c>
      <c r="AF24">
        <f>IF(A24&lt;('2. Inputs and results'!$C$21+1),AE24/1000,NA())</f>
        <v>-874</v>
      </c>
    </row>
    <row r="25" spans="1:32" x14ac:dyDescent="0.25">
      <c r="A25">
        <f t="shared" si="0"/>
        <v>20</v>
      </c>
      <c r="B25">
        <f>IF(A25&lt;('2. Inputs and results'!$C$21+1),A25," ")</f>
        <v>20</v>
      </c>
      <c r="C25" s="4">
        <f>IF(A25&lt;('2. Inputs and results'!$C$21+1),'2. Inputs and results'!$C$99+'2. Inputs and results'!$C$101," ")</f>
        <v>24600</v>
      </c>
      <c r="D25" s="4">
        <f>IF(A25&lt;('2. Inputs and results'!$C$21+1),D24+C25,NA())</f>
        <v>492000</v>
      </c>
      <c r="E25" s="4">
        <f>IF(A25&lt;('2. Inputs and results'!$C$21+1),C25/((1+$P$2)^A25)," ")</f>
        <v>11227.118876551785</v>
      </c>
      <c r="F25" s="4">
        <f>IF(B25&lt;('2. Inputs and results'!$C$21+1),F24+E25," ")</f>
        <v>334322.02808620513</v>
      </c>
      <c r="G25" s="4">
        <f>IF(A25&lt;('2. Inputs and results'!$C$21+1),G24*(1+'2. Inputs and results'!$C$44)," ")</f>
        <v>78907.772388469573</v>
      </c>
      <c r="H25" s="4">
        <f>IF(A25&lt;('2. Inputs and results'!$C$21+1),H24*(1+'2. Inputs and results'!$C$56)," ")</f>
        <v>0</v>
      </c>
      <c r="I25" s="4">
        <f>IF(A25&lt;('2. Inputs and results'!$C$21+1),I24*(1+'2. Inputs and results'!$C$32)," ")</f>
        <v>-35771.523482772878</v>
      </c>
      <c r="J25" s="4">
        <f>IF(A25&lt;('2. Inputs and results'!$C$21+1),J24*(1+'2. Inputs and results'!$C$66)," ")</f>
        <v>0</v>
      </c>
      <c r="K25" s="4">
        <f>IF(A25&lt;('2. Inputs and results'!$C$21+1),K24+(G25+I25+H25+J25),NA())</f>
        <v>661011.21242891951</v>
      </c>
      <c r="L25" s="4">
        <f>IF(A25&lt;('2. Inputs and results'!$C$21+1),L24,NA())</f>
        <v>212500</v>
      </c>
      <c r="M25" s="4">
        <f>IF(A25&lt;('2. Inputs and results'!$C$21+1),'2. Inputs and results'!$C$75*'2. Inputs and results'!$C$73," ")</f>
        <v>2500</v>
      </c>
      <c r="N25" s="4">
        <f>IF(A25&lt;('2. Inputs and results'!$C$21+1),M25/((1+$P$2)^A25)," ")</f>
        <v>1140.9673655032302</v>
      </c>
      <c r="O25" s="4">
        <f>IF(A25&lt;('2. Inputs and results'!$C$21+1),'2. Inputs and results'!$C$73*'2. Inputs and results'!$C$75+O24," ")</f>
        <v>260000</v>
      </c>
      <c r="P25" s="4">
        <f>IF(A25&lt;('2. Inputs and results'!$C$21+1),(G25+I25+H25+J25)/((1+$P$2)^A25)," ")</f>
        <v>19686.820908649741</v>
      </c>
      <c r="Q25" s="4">
        <f>IF(A25&lt;('2. Inputs and results'!$C$21+1),Q24+P25," ")</f>
        <v>432257.44640907558</v>
      </c>
      <c r="R25" s="4">
        <f>IF(A25&lt;('2. Inputs and results'!$C$21+1),R24+G25+I25+H25+J25+T25-$V$6,NA())</f>
        <v>374897.18461794639</v>
      </c>
      <c r="S25" s="4">
        <f>IF(A25&lt;('2. Inputs and results'!$C$21+1),'2. Inputs and results'!$C$79*(R24)," ")</f>
        <v>6685.2187142449948</v>
      </c>
      <c r="T25" s="4">
        <f t="shared" si="1"/>
        <v>0</v>
      </c>
      <c r="U25" s="4">
        <f>IF(A25&lt;('2. Inputs and results'!$C$21+1),U24+((G25+I25+H25+J25-$V$6+T25)/((1+$P$2)^A25)),NA())</f>
        <v>165448.54485409745</v>
      </c>
      <c r="V25" s="4">
        <f>IF(A25&lt;('2. Inputs and results'!$C$21+1),V24+('2. Inputs and results'!$C$75*'2. Inputs and results'!$C$73)," ")</f>
        <v>50000</v>
      </c>
      <c r="W25" s="4">
        <f>IF(A25&lt;('2. Inputs and results'!$C$21+1),W24+C25+Y25-$V$6,NA())</f>
        <v>203611.57024222717</v>
      </c>
      <c r="X25" s="4">
        <f>IF(A25&lt;('2. Inputs and results'!$C$21+1),'2. Inputs and results'!$C$79*(W24)," ")</f>
        <v>3630.2314048445437</v>
      </c>
      <c r="Y25" s="4">
        <f t="shared" si="2"/>
        <v>0</v>
      </c>
      <c r="Z25" s="4">
        <f>IF(A25&lt;('2. Inputs and results'!$C$21+1),Z24+((C25-$V$6+Y25)/((1+$P$2)^A25)),NA())</f>
        <v>65892.201348008428</v>
      </c>
      <c r="AA25" s="4">
        <f>IF(A25&lt;('2. Inputs and results'!$C$21+1),AA24+G25+I25+H25+T25-$V$6," ")</f>
        <v>587397.18461794639</v>
      </c>
      <c r="AB25" s="20">
        <f>IF(A25&lt;('2. Inputs and results'!$C$21+1),AA25/L25,NA())</f>
        <v>2.7642220452609241</v>
      </c>
      <c r="AC25" s="29">
        <f>IF(A25&lt;('2. Inputs and results'!$C$21+1),AC24+C25+Y25-$V$6," ")</f>
        <v>416111.57024222717</v>
      </c>
      <c r="AD25" s="20">
        <f>IF(A25&lt;('2. Inputs and results'!$C$21+1),AC25/L25,NA())</f>
        <v>1.9581720952575397</v>
      </c>
      <c r="AE25">
        <f>IF(A25&lt;('2. Inputs and results'!$C$21+1),-'2. Inputs and results'!$C$121*A25," ")</f>
        <v>-920000</v>
      </c>
      <c r="AF25">
        <f>IF(A25&lt;('2. Inputs and results'!$C$21+1),AE25/1000,NA())</f>
        <v>-920</v>
      </c>
    </row>
    <row r="26" spans="1:32" x14ac:dyDescent="0.25">
      <c r="A26">
        <f t="shared" si="0"/>
        <v>21</v>
      </c>
      <c r="B26" t="str">
        <f>IF(A26&lt;('2. Inputs and results'!$C$21+1),A26," ")</f>
        <v xml:space="preserve"> </v>
      </c>
      <c r="C26" s="4" t="str">
        <f>IF(A26&lt;('2. Inputs and results'!$C$21+1),'2. Inputs and results'!$C$99+'2. Inputs and results'!$C$101," ")</f>
        <v xml:space="preserve"> </v>
      </c>
      <c r="D26" s="4" t="e">
        <f>IF(A26&lt;('2. Inputs and results'!$C$21+1),D25+C26,NA())</f>
        <v>#N/A</v>
      </c>
      <c r="E26" s="4" t="str">
        <f>IF(A26&lt;('2. Inputs and results'!$C$21+1),C26/((1+$P$2)^A26)," ")</f>
        <v xml:space="preserve"> </v>
      </c>
      <c r="F26" s="4" t="str">
        <f>IF(B26&lt;('2. Inputs and results'!$C$21+1),F25+E26," ")</f>
        <v xml:space="preserve"> </v>
      </c>
      <c r="G26" s="4" t="str">
        <f>IF(A26&lt;('2. Inputs and results'!$C$21+1),G25*(1+'2. Inputs and results'!$C$44)," ")</f>
        <v xml:space="preserve"> </v>
      </c>
      <c r="H26" s="4" t="str">
        <f>IF(A26&lt;('2. Inputs and results'!$C$21+1),H25*(1+'2. Inputs and results'!$C$56)," ")</f>
        <v xml:space="preserve"> </v>
      </c>
      <c r="I26" s="4" t="str">
        <f>IF(A26&lt;('2. Inputs and results'!$C$21+1),I25*(1+'2. Inputs and results'!$C$32)," ")</f>
        <v xml:space="preserve"> </v>
      </c>
      <c r="J26" s="4" t="str">
        <f>IF(A26&lt;('2. Inputs and results'!$C$21+1),J25*(1+'2. Inputs and results'!$C$66)," ")</f>
        <v xml:space="preserve"> </v>
      </c>
      <c r="K26" s="4" t="e">
        <f>IF(A26&lt;('2. Inputs and results'!$C$21+1),K25+(G26+I26+H26+J26),NA())</f>
        <v>#N/A</v>
      </c>
      <c r="L26" s="4" t="e">
        <f>IF(A26&lt;('2. Inputs and results'!$C$21+1),L25,NA())</f>
        <v>#N/A</v>
      </c>
      <c r="M26" s="4" t="str">
        <f>IF(A26&lt;('2. Inputs and results'!$C$21+1),'2. Inputs and results'!$C$75*'2. Inputs and results'!$C$73," ")</f>
        <v xml:space="preserve"> </v>
      </c>
      <c r="N26" s="4" t="str">
        <f>IF(A26&lt;('2. Inputs and results'!$C$21+1),M26/((1+$P$2)^A26)," ")</f>
        <v xml:space="preserve"> </v>
      </c>
      <c r="O26" s="4" t="str">
        <f>IF(A26&lt;('2. Inputs and results'!$C$21+1),'2. Inputs and results'!$C$73*'2. Inputs and results'!$C$75+O25," ")</f>
        <v xml:space="preserve"> </v>
      </c>
      <c r="P26" s="4" t="str">
        <f>IF(A26&lt;('2. Inputs and results'!$C$21+1),(G26+I26+H26+J26)/((1+$P$2)^A26)," ")</f>
        <v xml:space="preserve"> </v>
      </c>
      <c r="Q26" s="4" t="str">
        <f>IF(A26&lt;('2. Inputs and results'!$C$21+1),Q25+P26," ")</f>
        <v xml:space="preserve"> </v>
      </c>
      <c r="R26" s="4" t="e">
        <f>IF(A26&lt;('2. Inputs and results'!$C$21+1),R25+G26+I26+H26+J26+T26-$V$6,NA())</f>
        <v>#N/A</v>
      </c>
      <c r="S26" s="4" t="str">
        <f>IF(A26&lt;('2. Inputs and results'!$C$21+1),'2. Inputs and results'!$C$79*(R25)," ")</f>
        <v xml:space="preserve"> </v>
      </c>
      <c r="T26" s="4">
        <f t="shared" si="1"/>
        <v>0</v>
      </c>
      <c r="U26" s="4" t="e">
        <f>IF(A26&lt;('2. Inputs and results'!$C$21+1),U25+((G26+I26+H26+J26-$V$6+T26)/((1+$P$2)^A26)),NA())</f>
        <v>#N/A</v>
      </c>
      <c r="V26" s="4" t="str">
        <f>IF(A26&lt;('2. Inputs and results'!$C$21+1),V25+('2. Inputs and results'!$C$75*'2. Inputs and results'!$C$73)," ")</f>
        <v xml:space="preserve"> </v>
      </c>
      <c r="W26" s="4" t="e">
        <f>IF(A26&lt;('2. Inputs and results'!$C$21+1),W25+C26+Y26-$V$6,NA())</f>
        <v>#N/A</v>
      </c>
      <c r="X26" s="4" t="str">
        <f>IF(A26&lt;('2. Inputs and results'!$C$21+1),'2. Inputs and results'!$C$79*(W25)," ")</f>
        <v xml:space="preserve"> </v>
      </c>
      <c r="Y26" s="4">
        <f t="shared" si="2"/>
        <v>0</v>
      </c>
      <c r="Z26" s="4" t="e">
        <f>IF(A26&lt;('2. Inputs and results'!$C$21+1),Z25+((C26-$V$6+Y26)/((1+$P$2)^A26)),NA())</f>
        <v>#N/A</v>
      </c>
      <c r="AA26" s="4" t="str">
        <f>IF(A26&lt;('2. Inputs and results'!$C$21+1),AA25+G26+I26+H26+T26-$V$6," ")</f>
        <v xml:space="preserve"> </v>
      </c>
      <c r="AB26" s="20" t="e">
        <f>IF(A26&lt;('2. Inputs and results'!$C$21+1),AA26/L26,NA())</f>
        <v>#N/A</v>
      </c>
      <c r="AC26" s="29" t="str">
        <f>IF(A26&lt;('2. Inputs and results'!$C$21+1),AC25+C26+Y26-$V$6," ")</f>
        <v xml:space="preserve"> </v>
      </c>
      <c r="AD26" s="20" t="e">
        <f>IF(A26&lt;('2. Inputs and results'!$C$21+1),AC26/L26,NA())</f>
        <v>#N/A</v>
      </c>
      <c r="AE26" t="str">
        <f>IF(A26&lt;('2. Inputs and results'!$C$21+1),-'2. Inputs and results'!$C$121*A26," ")</f>
        <v xml:space="preserve"> </v>
      </c>
      <c r="AF26" t="e">
        <f>IF(A26&lt;('2. Inputs and results'!$C$21+1),AE26/1000,NA())</f>
        <v>#N/A</v>
      </c>
    </row>
    <row r="27" spans="1:32" x14ac:dyDescent="0.25">
      <c r="A27">
        <f t="shared" si="0"/>
        <v>22</v>
      </c>
      <c r="B27" t="str">
        <f>IF(A27&lt;('2. Inputs and results'!$C$21+1),A27," ")</f>
        <v xml:space="preserve"> </v>
      </c>
      <c r="C27" s="4" t="str">
        <f>IF(A27&lt;('2. Inputs and results'!$C$21+1),'2. Inputs and results'!$C$99+'2. Inputs and results'!$C$101," ")</f>
        <v xml:space="preserve"> </v>
      </c>
      <c r="D27" s="4" t="e">
        <f>IF(A27&lt;('2. Inputs and results'!$C$21+1),D26+C27,NA())</f>
        <v>#N/A</v>
      </c>
      <c r="E27" s="4" t="str">
        <f>IF(A27&lt;('2. Inputs and results'!$C$21+1),C27/((1+$P$2)^A27)," ")</f>
        <v xml:space="preserve"> </v>
      </c>
      <c r="F27" s="4" t="str">
        <f>IF(B27&lt;('2. Inputs and results'!$C$21+1),F26+E27," ")</f>
        <v xml:space="preserve"> </v>
      </c>
      <c r="G27" s="4" t="str">
        <f>IF(A27&lt;('2. Inputs and results'!$C$21+1),G26*(1+'2. Inputs and results'!$C$44)," ")</f>
        <v xml:space="preserve"> </v>
      </c>
      <c r="H27" s="4" t="str">
        <f>IF(A27&lt;('2. Inputs and results'!$C$21+1),H26*(1+'2. Inputs and results'!$C$56)," ")</f>
        <v xml:space="preserve"> </v>
      </c>
      <c r="I27" s="4" t="str">
        <f>IF(A27&lt;('2. Inputs and results'!$C$21+1),I26*(1+'2. Inputs and results'!$C$32)," ")</f>
        <v xml:space="preserve"> </v>
      </c>
      <c r="J27" s="4" t="str">
        <f>IF(A27&lt;('2. Inputs and results'!$C$21+1),J26*(1+'2. Inputs and results'!$C$66)," ")</f>
        <v xml:space="preserve"> </v>
      </c>
      <c r="K27" s="4" t="e">
        <f>IF(A27&lt;('2. Inputs and results'!$C$21+1),K26+(G27+I27+H27+J27),NA())</f>
        <v>#N/A</v>
      </c>
      <c r="L27" s="4" t="e">
        <f>IF(A27&lt;('2. Inputs and results'!$C$21+1),L26,NA())</f>
        <v>#N/A</v>
      </c>
      <c r="M27" s="4" t="str">
        <f>IF(A27&lt;('2. Inputs and results'!$C$21+1),'2. Inputs and results'!$C$75*'2. Inputs and results'!$C$73," ")</f>
        <v xml:space="preserve"> </v>
      </c>
      <c r="N27" s="4" t="str">
        <f>IF(A27&lt;('2. Inputs and results'!$C$21+1),M27/((1+$P$2)^A27)," ")</f>
        <v xml:space="preserve"> </v>
      </c>
      <c r="O27" s="4" t="str">
        <f>IF(A27&lt;('2. Inputs and results'!$C$21+1),'2. Inputs and results'!$C$73*'2. Inputs and results'!$C$75+O26," ")</f>
        <v xml:space="preserve"> </v>
      </c>
      <c r="P27" s="4" t="str">
        <f>IF(A27&lt;('2. Inputs and results'!$C$21+1),(G27+I27+H27+J27)/((1+$P$2)^A27)," ")</f>
        <v xml:space="preserve"> </v>
      </c>
      <c r="Q27" s="4" t="str">
        <f>IF(A27&lt;('2. Inputs and results'!$C$21+1),Q26+P27," ")</f>
        <v xml:space="preserve"> </v>
      </c>
      <c r="R27" s="4" t="e">
        <f>IF(A27&lt;('2. Inputs and results'!$C$21+1),R26+G27+I27+H27+J27+T27-$V$6,NA())</f>
        <v>#N/A</v>
      </c>
      <c r="S27" s="4" t="str">
        <f>IF(A27&lt;('2. Inputs and results'!$C$21+1),'2. Inputs and results'!$C$79*(R26)," ")</f>
        <v xml:space="preserve"> </v>
      </c>
      <c r="T27" s="4">
        <f t="shared" si="1"/>
        <v>0</v>
      </c>
      <c r="U27" s="4" t="e">
        <f>IF(A27&lt;('2. Inputs and results'!$C$21+1),U26+((G27+I27+H27+J27-$V$6+T27)/((1+$P$2)^A27)),NA())</f>
        <v>#N/A</v>
      </c>
      <c r="V27" s="4" t="str">
        <f>IF(A27&lt;('2. Inputs and results'!$C$21+1),V26+('2. Inputs and results'!$C$75*'2. Inputs and results'!$C$73)," ")</f>
        <v xml:space="preserve"> </v>
      </c>
      <c r="W27" s="4" t="e">
        <f>IF(A27&lt;('2. Inputs and results'!$C$21+1),W26+C27+Y27-$V$6,NA())</f>
        <v>#N/A</v>
      </c>
      <c r="X27" s="4" t="str">
        <f>IF(A27&lt;('2. Inputs and results'!$C$21+1),'2. Inputs and results'!$C$79*(W26)," ")</f>
        <v xml:space="preserve"> </v>
      </c>
      <c r="Y27" s="4">
        <f t="shared" si="2"/>
        <v>0</v>
      </c>
      <c r="Z27" s="4" t="e">
        <f>IF(A27&lt;('2. Inputs and results'!$C$21+1),Z26+((C27-$V$6+Y27)/((1+$P$2)^A27)),NA())</f>
        <v>#N/A</v>
      </c>
      <c r="AA27" s="4" t="str">
        <f>IF(A27&lt;('2. Inputs and results'!$C$21+1),AA26+G27+I27+H27+T27-$V$6," ")</f>
        <v xml:space="preserve"> </v>
      </c>
      <c r="AB27" s="20" t="e">
        <f>IF(A27&lt;('2. Inputs and results'!$C$21+1),AA27/L27,NA())</f>
        <v>#N/A</v>
      </c>
      <c r="AC27" s="29" t="str">
        <f>IF(A27&lt;('2. Inputs and results'!$C$21+1),AC26+C27+Y27-$V$6," ")</f>
        <v xml:space="preserve"> </v>
      </c>
      <c r="AD27" s="20" t="e">
        <f>IF(A27&lt;('2. Inputs and results'!$C$21+1),AC27/L27,NA())</f>
        <v>#N/A</v>
      </c>
      <c r="AE27" t="str">
        <f>IF(A27&lt;('2. Inputs and results'!$C$21+1),-'2. Inputs and results'!$C$121*A27," ")</f>
        <v xml:space="preserve"> </v>
      </c>
      <c r="AF27" t="e">
        <f>IF(A27&lt;('2. Inputs and results'!$C$21+1),AE27/1000,NA())</f>
        <v>#N/A</v>
      </c>
    </row>
    <row r="28" spans="1:32" x14ac:dyDescent="0.25">
      <c r="A28">
        <f t="shared" si="0"/>
        <v>23</v>
      </c>
      <c r="B28" t="str">
        <f>IF(A28&lt;('2. Inputs and results'!$C$21+1),A28," ")</f>
        <v xml:space="preserve"> </v>
      </c>
      <c r="C28" s="4" t="str">
        <f>IF(A28&lt;('2. Inputs and results'!$C$21+1),'2. Inputs and results'!$C$99+'2. Inputs and results'!$C$101," ")</f>
        <v xml:space="preserve"> </v>
      </c>
      <c r="D28" s="4" t="e">
        <f>IF(A28&lt;('2. Inputs and results'!$C$21+1),D27+C28,NA())</f>
        <v>#N/A</v>
      </c>
      <c r="E28" s="4" t="str">
        <f>IF(A28&lt;('2. Inputs and results'!$C$21+1),C28/((1+$P$2)^A28)," ")</f>
        <v xml:space="preserve"> </v>
      </c>
      <c r="F28" s="4" t="str">
        <f>IF(B28&lt;('2. Inputs and results'!$C$21+1),F27+E28," ")</f>
        <v xml:space="preserve"> </v>
      </c>
      <c r="G28" s="4" t="str">
        <f>IF(A28&lt;('2. Inputs and results'!$C$21+1),G27*(1+'2. Inputs and results'!$C$44)," ")</f>
        <v xml:space="preserve"> </v>
      </c>
      <c r="H28" s="4" t="str">
        <f>IF(A28&lt;('2. Inputs and results'!$C$21+1),H27*(1+'2. Inputs and results'!$C$56)," ")</f>
        <v xml:space="preserve"> </v>
      </c>
      <c r="I28" s="4" t="str">
        <f>IF(A28&lt;('2. Inputs and results'!$C$21+1),I27*(1+'2. Inputs and results'!$C$32)," ")</f>
        <v xml:space="preserve"> </v>
      </c>
      <c r="J28" s="4" t="str">
        <f>IF(A28&lt;('2. Inputs and results'!$C$21+1),J27*(1+'2. Inputs and results'!$C$66)," ")</f>
        <v xml:space="preserve"> </v>
      </c>
      <c r="K28" s="4" t="e">
        <f>IF(A28&lt;('2. Inputs and results'!$C$21+1),K27+(G28+I28+H28+J28),NA())</f>
        <v>#N/A</v>
      </c>
      <c r="L28" s="4" t="e">
        <f>IF(A28&lt;('2. Inputs and results'!$C$21+1),L27,NA())</f>
        <v>#N/A</v>
      </c>
      <c r="M28" s="4" t="str">
        <f>IF(A28&lt;('2. Inputs and results'!$C$21+1),'2. Inputs and results'!$C$75*'2. Inputs and results'!$C$73," ")</f>
        <v xml:space="preserve"> </v>
      </c>
      <c r="N28" s="4" t="str">
        <f>IF(A28&lt;('2. Inputs and results'!$C$21+1),M28/((1+$P$2)^A28)," ")</f>
        <v xml:space="preserve"> </v>
      </c>
      <c r="O28" s="4" t="str">
        <f>IF(A28&lt;('2. Inputs and results'!$C$21+1),'2. Inputs and results'!$C$73*'2. Inputs and results'!$C$75+O27," ")</f>
        <v xml:space="preserve"> </v>
      </c>
      <c r="P28" s="4" t="str">
        <f>IF(A28&lt;('2. Inputs and results'!$C$21+1),(G28+I28+H28+J28)/((1+$P$2)^A28)," ")</f>
        <v xml:space="preserve"> </v>
      </c>
      <c r="Q28" s="4" t="str">
        <f>IF(A28&lt;('2. Inputs and results'!$C$21+1),Q27+P28," ")</f>
        <v xml:space="preserve"> </v>
      </c>
      <c r="R28" s="4" t="e">
        <f>IF(A28&lt;('2. Inputs and results'!$C$21+1),R27+G28+I28+H28+J28+T28-$V$6,NA())</f>
        <v>#N/A</v>
      </c>
      <c r="S28" s="4" t="str">
        <f>IF(A28&lt;('2. Inputs and results'!$C$21+1),'2. Inputs and results'!$C$79*(R27)," ")</f>
        <v xml:space="preserve"> </v>
      </c>
      <c r="T28" s="4">
        <f t="shared" si="1"/>
        <v>0</v>
      </c>
      <c r="U28" s="4" t="e">
        <f>IF(A28&lt;('2. Inputs and results'!$C$21+1),U27+((G28+I28+H28+J28-$V$6+T28)/((1+$P$2)^A28)),NA())</f>
        <v>#N/A</v>
      </c>
      <c r="V28" s="4" t="str">
        <f>IF(A28&lt;('2. Inputs and results'!$C$21+1),V27+('2. Inputs and results'!$C$75*'2. Inputs and results'!$C$73)," ")</f>
        <v xml:space="preserve"> </v>
      </c>
      <c r="W28" s="4" t="e">
        <f>IF(A28&lt;('2. Inputs and results'!$C$21+1),W27+C28+Y28-$V$6,NA())</f>
        <v>#N/A</v>
      </c>
      <c r="X28" s="4" t="str">
        <f>IF(A28&lt;('2. Inputs and results'!$C$21+1),'2. Inputs and results'!$C$79*(W27)," ")</f>
        <v xml:space="preserve"> </v>
      </c>
      <c r="Y28" s="4">
        <f t="shared" si="2"/>
        <v>0</v>
      </c>
      <c r="Z28" s="4" t="e">
        <f>IF(A28&lt;('2. Inputs and results'!$C$21+1),Z27+((C28-$V$6+Y28)/((1+$P$2)^A28)),NA())</f>
        <v>#N/A</v>
      </c>
      <c r="AA28" s="4" t="str">
        <f>IF(A28&lt;('2. Inputs and results'!$C$21+1),AA27+G28+I28+H28+T28-$V$6," ")</f>
        <v xml:space="preserve"> </v>
      </c>
      <c r="AB28" s="20" t="e">
        <f>IF(A28&lt;('2. Inputs and results'!$C$21+1),AA28/L28,NA())</f>
        <v>#N/A</v>
      </c>
      <c r="AC28" s="29" t="str">
        <f>IF(A28&lt;('2. Inputs and results'!$C$21+1),AC27+C28+Y28-$V$6," ")</f>
        <v xml:space="preserve"> </v>
      </c>
      <c r="AD28" s="20" t="e">
        <f>IF(A28&lt;('2. Inputs and results'!$C$21+1),AC28/L28,NA())</f>
        <v>#N/A</v>
      </c>
      <c r="AE28" t="str">
        <f>IF(A28&lt;('2. Inputs and results'!$C$21+1),-'2. Inputs and results'!$C$121*A28," ")</f>
        <v xml:space="preserve"> </v>
      </c>
      <c r="AF28" t="e">
        <f>IF(A28&lt;('2. Inputs and results'!$C$21+1),AE28/1000,NA())</f>
        <v>#N/A</v>
      </c>
    </row>
    <row r="29" spans="1:32" x14ac:dyDescent="0.25">
      <c r="A29">
        <f t="shared" si="0"/>
        <v>24</v>
      </c>
      <c r="B29" t="str">
        <f>IF(A29&lt;('2. Inputs and results'!$C$21+1),A29," ")</f>
        <v xml:space="preserve"> </v>
      </c>
      <c r="C29" s="4" t="str">
        <f>IF(A29&lt;('2. Inputs and results'!$C$21+1),'2. Inputs and results'!$C$99+'2. Inputs and results'!$C$101," ")</f>
        <v xml:space="preserve"> </v>
      </c>
      <c r="D29" s="4" t="e">
        <f>IF(A29&lt;('2. Inputs and results'!$C$21+1),D28+C29,NA())</f>
        <v>#N/A</v>
      </c>
      <c r="E29" s="4" t="str">
        <f>IF(A29&lt;('2. Inputs and results'!$C$21+1),C29/((1+$P$2)^A29)," ")</f>
        <v xml:space="preserve"> </v>
      </c>
      <c r="F29" s="4" t="str">
        <f>IF(B29&lt;('2. Inputs and results'!$C$21+1),F28+E29," ")</f>
        <v xml:space="preserve"> </v>
      </c>
      <c r="G29" s="4" t="str">
        <f>IF(A29&lt;('2. Inputs and results'!$C$21+1),G28*(1+'2. Inputs and results'!$C$44)," ")</f>
        <v xml:space="preserve"> </v>
      </c>
      <c r="H29" s="4" t="str">
        <f>IF(A29&lt;('2. Inputs and results'!$C$21+1),H28*(1+'2. Inputs and results'!$C$56)," ")</f>
        <v xml:space="preserve"> </v>
      </c>
      <c r="I29" s="4" t="str">
        <f>IF(A29&lt;('2. Inputs and results'!$C$21+1),I28*(1+'2. Inputs and results'!$C$32)," ")</f>
        <v xml:space="preserve"> </v>
      </c>
      <c r="J29" s="4" t="str">
        <f>IF(A29&lt;('2. Inputs and results'!$C$21+1),J28*(1+'2. Inputs and results'!$C$66)," ")</f>
        <v xml:space="preserve"> </v>
      </c>
      <c r="K29" s="4" t="e">
        <f>IF(A29&lt;('2. Inputs and results'!$C$21+1),K28+(G29+I29+H29+J29),NA())</f>
        <v>#N/A</v>
      </c>
      <c r="L29" s="4" t="e">
        <f>IF(A29&lt;('2. Inputs and results'!$C$21+1),L28,NA())</f>
        <v>#N/A</v>
      </c>
      <c r="M29" s="4" t="str">
        <f>IF(A29&lt;('2. Inputs and results'!$C$21+1),'2. Inputs and results'!$C$75*'2. Inputs and results'!$C$73," ")</f>
        <v xml:space="preserve"> </v>
      </c>
      <c r="N29" s="4" t="str">
        <f>IF(A29&lt;('2. Inputs and results'!$C$21+1),M29/((1+$P$2)^A29)," ")</f>
        <v xml:space="preserve"> </v>
      </c>
      <c r="O29" s="4" t="str">
        <f>IF(A29&lt;('2. Inputs and results'!$C$21+1),'2. Inputs and results'!$C$73*'2. Inputs and results'!$C$75+O28," ")</f>
        <v xml:space="preserve"> </v>
      </c>
      <c r="P29" s="4" t="str">
        <f>IF(A29&lt;('2. Inputs and results'!$C$21+1),(G29+I29+H29+J29)/((1+$P$2)^A29)," ")</f>
        <v xml:space="preserve"> </v>
      </c>
      <c r="Q29" s="4" t="str">
        <f>IF(A29&lt;('2. Inputs and results'!$C$21+1),Q28+P29," ")</f>
        <v xml:space="preserve"> </v>
      </c>
      <c r="R29" s="4" t="e">
        <f>IF(A29&lt;('2. Inputs and results'!$C$21+1),R28+G29+I29+H29+J29+T29-$V$6,NA())</f>
        <v>#N/A</v>
      </c>
      <c r="S29" s="4" t="str">
        <f>IF(A29&lt;('2. Inputs and results'!$C$21+1),'2. Inputs and results'!$C$79*(R28)," ")</f>
        <v xml:space="preserve"> </v>
      </c>
      <c r="T29" s="4">
        <f t="shared" si="1"/>
        <v>0</v>
      </c>
      <c r="U29" s="4" t="e">
        <f>IF(A29&lt;('2. Inputs and results'!$C$21+1),U28+((G29+I29+H29+J29-$V$6+T29)/((1+$P$2)^A29)),NA())</f>
        <v>#N/A</v>
      </c>
      <c r="V29" s="4" t="str">
        <f>IF(A29&lt;('2. Inputs and results'!$C$21+1),V28+('2. Inputs and results'!$C$75*'2. Inputs and results'!$C$73)," ")</f>
        <v xml:space="preserve"> </v>
      </c>
      <c r="W29" s="4" t="e">
        <f>IF(A29&lt;('2. Inputs and results'!$C$21+1),W28+C29+Y29-$V$6,NA())</f>
        <v>#N/A</v>
      </c>
      <c r="X29" s="4" t="str">
        <f>IF(A29&lt;('2. Inputs and results'!$C$21+1),'2. Inputs and results'!$C$79*(W28)," ")</f>
        <v xml:space="preserve"> </v>
      </c>
      <c r="Y29" s="4">
        <f t="shared" si="2"/>
        <v>0</v>
      </c>
      <c r="Z29" s="4" t="e">
        <f>IF(A29&lt;('2. Inputs and results'!$C$21+1),Z28+((C29-$V$6+Y29)/((1+$P$2)^A29)),NA())</f>
        <v>#N/A</v>
      </c>
      <c r="AA29" s="4" t="str">
        <f>IF(A29&lt;('2. Inputs and results'!$C$21+1),AA28+G29+I29+H29+T29-$V$6," ")</f>
        <v xml:space="preserve"> </v>
      </c>
      <c r="AB29" s="20" t="e">
        <f>IF(A29&lt;('2. Inputs and results'!$C$21+1),AA29/L29,NA())</f>
        <v>#N/A</v>
      </c>
      <c r="AC29" s="29" t="str">
        <f>IF(A29&lt;('2. Inputs and results'!$C$21+1),AC28+C29+Y29-$V$6," ")</f>
        <v xml:space="preserve"> </v>
      </c>
      <c r="AD29" s="20" t="e">
        <f>IF(A29&lt;('2. Inputs and results'!$C$21+1),AC29/L29,NA())</f>
        <v>#N/A</v>
      </c>
      <c r="AE29" t="str">
        <f>IF(A29&lt;('2. Inputs and results'!$C$21+1),-'2. Inputs and results'!$C$121*A29," ")</f>
        <v xml:space="preserve"> </v>
      </c>
      <c r="AF29" t="e">
        <f>IF(A29&lt;('2. Inputs and results'!$C$21+1),AE29/1000,NA())</f>
        <v>#N/A</v>
      </c>
    </row>
    <row r="30" spans="1:32" x14ac:dyDescent="0.25">
      <c r="A30">
        <f t="shared" si="0"/>
        <v>25</v>
      </c>
      <c r="B30" t="str">
        <f>IF(A30&lt;('2. Inputs and results'!$C$21+1),A30," ")</f>
        <v xml:space="preserve"> </v>
      </c>
      <c r="C30" s="4" t="str">
        <f>IF(A30&lt;('2. Inputs and results'!$C$21+1),'2. Inputs and results'!$C$99+'2. Inputs and results'!$C$101," ")</f>
        <v xml:space="preserve"> </v>
      </c>
      <c r="D30" s="4" t="e">
        <f>IF(A30&lt;('2. Inputs and results'!$C$21+1),D29+C30,NA())</f>
        <v>#N/A</v>
      </c>
      <c r="E30" s="4" t="str">
        <f>IF(A30&lt;('2. Inputs and results'!$C$21+1),C30/((1+$P$2)^A30)," ")</f>
        <v xml:space="preserve"> </v>
      </c>
      <c r="F30" s="4" t="str">
        <f>IF(B30&lt;('2. Inputs and results'!$C$21+1),F29+E30," ")</f>
        <v xml:space="preserve"> </v>
      </c>
      <c r="G30" s="4" t="str">
        <f>IF(A30&lt;('2. Inputs and results'!$C$21+1),G29*(1+'2. Inputs and results'!$C$44)," ")</f>
        <v xml:space="preserve"> </v>
      </c>
      <c r="H30" s="4" t="str">
        <f>IF(A30&lt;('2. Inputs and results'!$C$21+1),H29*(1+'2. Inputs and results'!$C$56)," ")</f>
        <v xml:space="preserve"> </v>
      </c>
      <c r="I30" s="4" t="str">
        <f>IF(A30&lt;('2. Inputs and results'!$C$21+1),I29*(1+'2. Inputs and results'!$C$32)," ")</f>
        <v xml:space="preserve"> </v>
      </c>
      <c r="J30" s="4" t="str">
        <f>IF(A30&lt;('2. Inputs and results'!$C$21+1),J29*(1+'2. Inputs and results'!$C$66)," ")</f>
        <v xml:space="preserve"> </v>
      </c>
      <c r="K30" s="4" t="e">
        <f>IF(A30&lt;('2. Inputs and results'!$C$21+1),K29+(G30+I30+H30+J30),NA())</f>
        <v>#N/A</v>
      </c>
      <c r="L30" s="4" t="e">
        <f>IF(A30&lt;('2. Inputs and results'!$C$21+1),L29,NA())</f>
        <v>#N/A</v>
      </c>
      <c r="M30" s="4" t="str">
        <f>IF(A30&lt;('2. Inputs and results'!$C$21+1),'2. Inputs and results'!$C$75*'2. Inputs and results'!$C$73," ")</f>
        <v xml:space="preserve"> </v>
      </c>
      <c r="N30" s="4" t="str">
        <f>IF(A30&lt;('2. Inputs and results'!$C$21+1),M30/((1+$P$2)^A30)," ")</f>
        <v xml:space="preserve"> </v>
      </c>
      <c r="O30" s="4" t="str">
        <f>IF(A30&lt;('2. Inputs and results'!$C$21+1),'2. Inputs and results'!$C$73*'2. Inputs and results'!$C$75+O29," ")</f>
        <v xml:space="preserve"> </v>
      </c>
      <c r="P30" s="4" t="str">
        <f>IF(A30&lt;('2. Inputs and results'!$C$21+1),(G30+I30+H30+J30)/((1+$P$2)^A30)," ")</f>
        <v xml:space="preserve"> </v>
      </c>
      <c r="Q30" s="4" t="str">
        <f>IF(A30&lt;('2. Inputs and results'!$C$21+1),Q29+P30," ")</f>
        <v xml:space="preserve"> </v>
      </c>
      <c r="R30" s="4" t="e">
        <f>IF(A30&lt;('2. Inputs and results'!$C$21+1),R29+G30+I30+H30+J30+T30-$V$6,NA())</f>
        <v>#N/A</v>
      </c>
      <c r="S30" s="4" t="str">
        <f>IF(A30&lt;('2. Inputs and results'!$C$21+1),'2. Inputs and results'!$C$79*(R29)," ")</f>
        <v xml:space="preserve"> </v>
      </c>
      <c r="T30" s="4">
        <f t="shared" si="1"/>
        <v>0</v>
      </c>
      <c r="U30" s="4" t="e">
        <f>IF(A30&lt;('2. Inputs and results'!$C$21+1),U29+((G30+I30+H30+J30-$V$6+T30)/((1+$P$2)^A30)),NA())</f>
        <v>#N/A</v>
      </c>
      <c r="V30" s="4" t="str">
        <f>IF(A30&lt;('2. Inputs and results'!$C$21+1),V29+('2. Inputs and results'!$C$75*'2. Inputs and results'!$C$73)," ")</f>
        <v xml:space="preserve"> </v>
      </c>
      <c r="W30" s="4" t="e">
        <f>IF(A30&lt;('2. Inputs and results'!$C$21+1),W29+C30+Y30-$V$6,NA())</f>
        <v>#N/A</v>
      </c>
      <c r="X30" s="4" t="str">
        <f>IF(A30&lt;('2. Inputs and results'!$C$21+1),'2. Inputs and results'!$C$79*(W29)," ")</f>
        <v xml:space="preserve"> </v>
      </c>
      <c r="Y30" s="4">
        <f t="shared" si="2"/>
        <v>0</v>
      </c>
      <c r="Z30" s="4" t="e">
        <f>IF(A30&lt;('2. Inputs and results'!$C$21+1),Z29+((C30-$V$6+Y30)/((1+$P$2)^A30)),NA())</f>
        <v>#N/A</v>
      </c>
      <c r="AA30" s="4" t="str">
        <f>IF(A30&lt;('2. Inputs and results'!$C$21+1),AA29+G30+I30+H30+T30-$V$6," ")</f>
        <v xml:space="preserve"> </v>
      </c>
      <c r="AB30" s="20" t="e">
        <f>IF(A30&lt;('2. Inputs and results'!$C$21+1),AA30/L30,NA())</f>
        <v>#N/A</v>
      </c>
      <c r="AC30" s="29" t="str">
        <f>IF(A30&lt;('2. Inputs and results'!$C$21+1),AC29+C30+Y30-$V$6," ")</f>
        <v xml:space="preserve"> </v>
      </c>
      <c r="AD30" s="20" t="e">
        <f>IF(A30&lt;('2. Inputs and results'!$C$21+1),AC30/L30,NA())</f>
        <v>#N/A</v>
      </c>
      <c r="AE30" t="str">
        <f>IF(A30&lt;('2. Inputs and results'!$C$21+1),-'2. Inputs and results'!$C$121*A30," ")</f>
        <v xml:space="preserve"> </v>
      </c>
      <c r="AF30" t="e">
        <f>IF(A30&lt;('2. Inputs and results'!$C$21+1),AE30/1000,NA())</f>
        <v>#N/A</v>
      </c>
    </row>
    <row r="31" spans="1:32" x14ac:dyDescent="0.25">
      <c r="A31">
        <f t="shared" si="0"/>
        <v>26</v>
      </c>
      <c r="B31" t="str">
        <f>IF(A31&lt;('2. Inputs and results'!$C$21+1),A31," ")</f>
        <v xml:space="preserve"> </v>
      </c>
      <c r="C31" s="4" t="str">
        <f>IF(A31&lt;('2. Inputs and results'!$C$21+1),'2. Inputs and results'!$C$99+'2. Inputs and results'!$C$101," ")</f>
        <v xml:space="preserve"> </v>
      </c>
      <c r="D31" s="4" t="e">
        <f>IF(A31&lt;('2. Inputs and results'!$C$21+1),D30+C31,NA())</f>
        <v>#N/A</v>
      </c>
      <c r="E31" s="4" t="str">
        <f>IF(A31&lt;('2. Inputs and results'!$C$21+1),C31/((1+$P$2)^A31)," ")</f>
        <v xml:space="preserve"> </v>
      </c>
      <c r="F31" s="4" t="str">
        <f>IF(B31&lt;('2. Inputs and results'!$C$21+1),F30+E31," ")</f>
        <v xml:space="preserve"> </v>
      </c>
      <c r="G31" s="4" t="str">
        <f>IF(A31&lt;('2. Inputs and results'!$C$21+1),G30*(1+'2. Inputs and results'!$C$44)," ")</f>
        <v xml:space="preserve"> </v>
      </c>
      <c r="H31" s="4" t="str">
        <f>IF(A31&lt;('2. Inputs and results'!$C$21+1),H30*(1+'2. Inputs and results'!$C$56)," ")</f>
        <v xml:space="preserve"> </v>
      </c>
      <c r="I31" s="4" t="str">
        <f>IF(A31&lt;('2. Inputs and results'!$C$21+1),I30*(1+'2. Inputs and results'!$C$32)," ")</f>
        <v xml:space="preserve"> </v>
      </c>
      <c r="J31" s="4" t="str">
        <f>IF(A31&lt;('2. Inputs and results'!$C$21+1),J30*(1+'2. Inputs and results'!$C$66)," ")</f>
        <v xml:space="preserve"> </v>
      </c>
      <c r="K31" s="4" t="e">
        <f>IF(A31&lt;('2. Inputs and results'!$C$21+1),K30+(G31+I31+H31+J31),NA())</f>
        <v>#N/A</v>
      </c>
      <c r="L31" s="4" t="e">
        <f>IF(A31&lt;('2. Inputs and results'!$C$21+1),L30,NA())</f>
        <v>#N/A</v>
      </c>
      <c r="M31" s="4" t="str">
        <f>IF(A31&lt;('2. Inputs and results'!$C$21+1),'2. Inputs and results'!$C$75*'2. Inputs and results'!$C$73," ")</f>
        <v xml:space="preserve"> </v>
      </c>
      <c r="N31" s="4" t="str">
        <f>IF(A31&lt;('2. Inputs and results'!$C$21+1),M31/((1+$P$2)^A31)," ")</f>
        <v xml:space="preserve"> </v>
      </c>
      <c r="O31" s="4" t="str">
        <f>IF(A31&lt;('2. Inputs and results'!$C$21+1),'2. Inputs and results'!$C$73*'2. Inputs and results'!$C$75+O30," ")</f>
        <v xml:space="preserve"> </v>
      </c>
      <c r="P31" s="4" t="str">
        <f>IF(A31&lt;('2. Inputs and results'!$C$21+1),(G31+I31+H31+J31)/((1+$P$2)^A31)," ")</f>
        <v xml:space="preserve"> </v>
      </c>
      <c r="Q31" s="4" t="str">
        <f>IF(A31&lt;('2. Inputs and results'!$C$21+1),Q30+P31," ")</f>
        <v xml:space="preserve"> </v>
      </c>
      <c r="R31" s="4" t="e">
        <f>IF(A31&lt;('2. Inputs and results'!$C$21+1),R30+G31+I31+H31+J31+T31-$V$6,NA())</f>
        <v>#N/A</v>
      </c>
      <c r="S31" s="4" t="str">
        <f>IF(A31&lt;('2. Inputs and results'!$C$21+1),'2. Inputs and results'!$C$79*(R30)," ")</f>
        <v xml:space="preserve"> </v>
      </c>
      <c r="T31" s="4">
        <f t="shared" si="1"/>
        <v>0</v>
      </c>
      <c r="U31" s="4" t="e">
        <f>IF(A31&lt;('2. Inputs and results'!$C$21+1),U30+((G31+I31+H31+J31-$V$6+T31)/((1+$P$2)^A31)),NA())</f>
        <v>#N/A</v>
      </c>
      <c r="V31" s="4" t="str">
        <f>IF(A31&lt;('2. Inputs and results'!$C$21+1),V30+('2. Inputs and results'!$C$75*'2. Inputs and results'!$C$73)," ")</f>
        <v xml:space="preserve"> </v>
      </c>
      <c r="W31" s="4" t="e">
        <f>IF(A31&lt;('2. Inputs and results'!$C$21+1),W30+C31+Y31-$V$6,NA())</f>
        <v>#N/A</v>
      </c>
      <c r="X31" s="4" t="str">
        <f>IF(A31&lt;('2. Inputs and results'!$C$21+1),'2. Inputs and results'!$C$79*(W30)," ")</f>
        <v xml:space="preserve"> </v>
      </c>
      <c r="Y31" s="4">
        <f t="shared" si="2"/>
        <v>0</v>
      </c>
      <c r="Z31" s="4" t="e">
        <f>IF(A31&lt;('2. Inputs and results'!$C$21+1),Z30+((C31-$V$6+Y31)/((1+$P$2)^A31)),NA())</f>
        <v>#N/A</v>
      </c>
      <c r="AA31" s="4" t="str">
        <f>IF(A31&lt;('2. Inputs and results'!$C$21+1),AA30+G31+I31+H31+T31-$V$6," ")</f>
        <v xml:space="preserve"> </v>
      </c>
      <c r="AB31" s="20" t="e">
        <f>IF(A31&lt;('2. Inputs and results'!$C$21+1),AA31/L31,NA())</f>
        <v>#N/A</v>
      </c>
      <c r="AC31" s="29" t="str">
        <f>IF(A31&lt;('2. Inputs and results'!$C$21+1),AC30+C31+Y31-$V$6," ")</f>
        <v xml:space="preserve"> </v>
      </c>
      <c r="AD31" s="20" t="e">
        <f>IF(A31&lt;('2. Inputs and results'!$C$21+1),AC31/L31,NA())</f>
        <v>#N/A</v>
      </c>
      <c r="AE31" t="str">
        <f>IF(A31&lt;('2. Inputs and results'!$C$21+1),-'2. Inputs and results'!$C$121*A31," ")</f>
        <v xml:space="preserve"> </v>
      </c>
      <c r="AF31" t="e">
        <f>IF(A31&lt;('2. Inputs and results'!$C$21+1),AE31/1000,NA())</f>
        <v>#N/A</v>
      </c>
    </row>
    <row r="32" spans="1:32" x14ac:dyDescent="0.25">
      <c r="A32">
        <f t="shared" si="0"/>
        <v>27</v>
      </c>
      <c r="B32" t="str">
        <f>IF(A32&lt;('2. Inputs and results'!$C$21+1),A32," ")</f>
        <v xml:space="preserve"> </v>
      </c>
      <c r="C32" s="4" t="str">
        <f>IF(A32&lt;('2. Inputs and results'!$C$21+1),'2. Inputs and results'!$C$99+'2. Inputs and results'!$C$101," ")</f>
        <v xml:space="preserve"> </v>
      </c>
      <c r="D32" s="4" t="e">
        <f>IF(A32&lt;('2. Inputs and results'!$C$21+1),D31+C32,NA())</f>
        <v>#N/A</v>
      </c>
      <c r="E32" s="4" t="str">
        <f>IF(A32&lt;('2. Inputs and results'!$C$21+1),C32/((1+$P$2)^A32)," ")</f>
        <v xml:space="preserve"> </v>
      </c>
      <c r="F32" s="4" t="str">
        <f>IF(B32&lt;('2. Inputs and results'!$C$21+1),F31+E32," ")</f>
        <v xml:space="preserve"> </v>
      </c>
      <c r="G32" s="4" t="str">
        <f>IF(A32&lt;('2. Inputs and results'!$C$21+1),G31*(1+'2. Inputs and results'!$C$44)," ")</f>
        <v xml:space="preserve"> </v>
      </c>
      <c r="H32" s="4" t="str">
        <f>IF(A32&lt;('2. Inputs and results'!$C$21+1),H31*(1+'2. Inputs and results'!$C$56)," ")</f>
        <v xml:space="preserve"> </v>
      </c>
      <c r="I32" s="4" t="str">
        <f>IF(A32&lt;('2. Inputs and results'!$C$21+1),I31*(1+'2. Inputs and results'!$C$32)," ")</f>
        <v xml:space="preserve"> </v>
      </c>
      <c r="J32" s="4" t="str">
        <f>IF(A32&lt;('2. Inputs and results'!$C$21+1),J31*(1+'2. Inputs and results'!$C$66)," ")</f>
        <v xml:space="preserve"> </v>
      </c>
      <c r="K32" s="4" t="e">
        <f>IF(A32&lt;('2. Inputs and results'!$C$21+1),K31+(G32+I32+H32+J32),NA())</f>
        <v>#N/A</v>
      </c>
      <c r="L32" s="4" t="e">
        <f>IF(A32&lt;('2. Inputs and results'!$C$21+1),L31,NA())</f>
        <v>#N/A</v>
      </c>
      <c r="M32" s="4" t="str">
        <f>IF(A32&lt;('2. Inputs and results'!$C$21+1),'2. Inputs and results'!$C$75*'2. Inputs and results'!$C$73," ")</f>
        <v xml:space="preserve"> </v>
      </c>
      <c r="N32" s="4" t="str">
        <f>IF(A32&lt;('2. Inputs and results'!$C$21+1),M32/((1+$P$2)^A32)," ")</f>
        <v xml:space="preserve"> </v>
      </c>
      <c r="O32" s="4" t="str">
        <f>IF(A32&lt;('2. Inputs and results'!$C$21+1),'2. Inputs and results'!$C$73*'2. Inputs and results'!$C$75+O31," ")</f>
        <v xml:space="preserve"> </v>
      </c>
      <c r="P32" s="4" t="str">
        <f>IF(A32&lt;('2. Inputs and results'!$C$21+1),(G32+I32+H32+J32)/((1+$P$2)^A32)," ")</f>
        <v xml:space="preserve"> </v>
      </c>
      <c r="Q32" s="4" t="str">
        <f>IF(A32&lt;('2. Inputs and results'!$C$21+1),Q31+P32," ")</f>
        <v xml:space="preserve"> </v>
      </c>
      <c r="R32" s="4" t="e">
        <f>IF(A32&lt;('2. Inputs and results'!$C$21+1),R31+G32+I32+H32+J32+T32-$V$6,NA())</f>
        <v>#N/A</v>
      </c>
      <c r="S32" s="4" t="str">
        <f>IF(A32&lt;('2. Inputs and results'!$C$21+1),'2. Inputs and results'!$C$79*(R31)," ")</f>
        <v xml:space="preserve"> </v>
      </c>
      <c r="T32" s="4">
        <f t="shared" si="1"/>
        <v>0</v>
      </c>
      <c r="U32" s="4" t="e">
        <f>IF(A32&lt;('2. Inputs and results'!$C$21+1),U31+((G32+I32+H32+J32-$V$6+T32)/((1+$P$2)^A32)),NA())</f>
        <v>#N/A</v>
      </c>
      <c r="V32" s="4" t="str">
        <f>IF(A32&lt;('2. Inputs and results'!$C$21+1),V31+('2. Inputs and results'!$C$75*'2. Inputs and results'!$C$73)," ")</f>
        <v xml:space="preserve"> </v>
      </c>
      <c r="W32" s="4" t="e">
        <f>IF(A32&lt;('2. Inputs and results'!$C$21+1),W31+C32+Y32-$V$6,NA())</f>
        <v>#N/A</v>
      </c>
      <c r="X32" s="4" t="str">
        <f>IF(A32&lt;('2. Inputs and results'!$C$21+1),'2. Inputs and results'!$C$79*(W31)," ")</f>
        <v xml:space="preserve"> </v>
      </c>
      <c r="Y32" s="4">
        <f t="shared" si="2"/>
        <v>0</v>
      </c>
      <c r="Z32" s="4" t="e">
        <f>IF(A32&lt;('2. Inputs and results'!$C$21+1),Z31+((C32-$V$6+Y32)/((1+$P$2)^A32)),NA())</f>
        <v>#N/A</v>
      </c>
      <c r="AA32" s="4" t="str">
        <f>IF(A32&lt;('2. Inputs and results'!$C$21+1),AA31+G32+I32+H32+T32-$V$6," ")</f>
        <v xml:space="preserve"> </v>
      </c>
      <c r="AB32" s="20" t="e">
        <f>IF(A32&lt;('2. Inputs and results'!$C$21+1),AA32/L32,NA())</f>
        <v>#N/A</v>
      </c>
      <c r="AC32" s="29" t="str">
        <f>IF(A32&lt;('2. Inputs and results'!$C$21+1),AC31+C32+Y32-$V$6," ")</f>
        <v xml:space="preserve"> </v>
      </c>
      <c r="AD32" s="20" t="e">
        <f>IF(A32&lt;('2. Inputs and results'!$C$21+1),AC32/L32,NA())</f>
        <v>#N/A</v>
      </c>
      <c r="AE32" t="str">
        <f>IF(A32&lt;('2. Inputs and results'!$C$21+1),-'2. Inputs and results'!$C$121*A32," ")</f>
        <v xml:space="preserve"> </v>
      </c>
      <c r="AF32" t="e">
        <f>IF(A32&lt;('2. Inputs and results'!$C$21+1),AE32/1000,NA())</f>
        <v>#N/A</v>
      </c>
    </row>
    <row r="33" spans="1:32" x14ac:dyDescent="0.25">
      <c r="A33">
        <f t="shared" si="0"/>
        <v>28</v>
      </c>
      <c r="B33" t="str">
        <f>IF(A33&lt;('2. Inputs and results'!$C$21+1),A33," ")</f>
        <v xml:space="preserve"> </v>
      </c>
      <c r="C33" s="4" t="str">
        <f>IF(A33&lt;('2. Inputs and results'!$C$21+1),'2. Inputs and results'!$C$99+'2. Inputs and results'!$C$101," ")</f>
        <v xml:space="preserve"> </v>
      </c>
      <c r="D33" s="4" t="e">
        <f>IF(A33&lt;('2. Inputs and results'!$C$21+1),D32+C33,NA())</f>
        <v>#N/A</v>
      </c>
      <c r="E33" s="4" t="str">
        <f>IF(A33&lt;('2. Inputs and results'!$C$21+1),C33/((1+$P$2)^A33)," ")</f>
        <v xml:space="preserve"> </v>
      </c>
      <c r="F33" s="4" t="str">
        <f>IF(B33&lt;('2. Inputs and results'!$C$21+1),F32+E33," ")</f>
        <v xml:space="preserve"> </v>
      </c>
      <c r="G33" s="4" t="str">
        <f>IF(A33&lt;('2. Inputs and results'!$C$21+1),G32*(1+'2. Inputs and results'!$C$44)," ")</f>
        <v xml:space="preserve"> </v>
      </c>
      <c r="H33" s="4" t="str">
        <f>IF(A33&lt;('2. Inputs and results'!$C$21+1),H32*(1+'2. Inputs and results'!$C$56)," ")</f>
        <v xml:space="preserve"> </v>
      </c>
      <c r="I33" s="4" t="str">
        <f>IF(A33&lt;('2. Inputs and results'!$C$21+1),I32*(1+'2. Inputs and results'!$C$32)," ")</f>
        <v xml:space="preserve"> </v>
      </c>
      <c r="J33" s="4" t="str">
        <f>IF(A33&lt;('2. Inputs and results'!$C$21+1),J32*(1+'2. Inputs and results'!$C$66)," ")</f>
        <v xml:space="preserve"> </v>
      </c>
      <c r="K33" s="4" t="e">
        <f>IF(A33&lt;('2. Inputs and results'!$C$21+1),K32+(G33+I33+H33+J33),NA())</f>
        <v>#N/A</v>
      </c>
      <c r="L33" s="4" t="e">
        <f>IF(A33&lt;('2. Inputs and results'!$C$21+1),L32,NA())</f>
        <v>#N/A</v>
      </c>
      <c r="M33" s="4" t="str">
        <f>IF(A33&lt;('2. Inputs and results'!$C$21+1),'2. Inputs and results'!$C$75*'2. Inputs and results'!$C$73," ")</f>
        <v xml:space="preserve"> </v>
      </c>
      <c r="N33" s="4" t="str">
        <f>IF(A33&lt;('2. Inputs and results'!$C$21+1),M33/((1+$P$2)^A33)," ")</f>
        <v xml:space="preserve"> </v>
      </c>
      <c r="O33" s="4" t="str">
        <f>IF(A33&lt;('2. Inputs and results'!$C$21+1),'2. Inputs and results'!$C$73*'2. Inputs and results'!$C$75+O32," ")</f>
        <v xml:space="preserve"> </v>
      </c>
      <c r="P33" s="4" t="str">
        <f>IF(A33&lt;('2. Inputs and results'!$C$21+1),(G33+I33+H33+J33)/((1+$P$2)^A33)," ")</f>
        <v xml:space="preserve"> </v>
      </c>
      <c r="Q33" s="4" t="str">
        <f>IF(A33&lt;('2. Inputs and results'!$C$21+1),Q32+P33," ")</f>
        <v xml:space="preserve"> </v>
      </c>
      <c r="R33" s="4" t="e">
        <f>IF(A33&lt;('2. Inputs and results'!$C$21+1),R32+G33+I33+H33+J33+T33-$V$6,NA())</f>
        <v>#N/A</v>
      </c>
      <c r="S33" s="4" t="str">
        <f>IF(A33&lt;('2. Inputs and results'!$C$21+1),'2. Inputs and results'!$C$79*(R32)," ")</f>
        <v xml:space="preserve"> </v>
      </c>
      <c r="T33" s="4">
        <f t="shared" si="1"/>
        <v>0</v>
      </c>
      <c r="U33" s="4" t="e">
        <f>IF(A33&lt;('2. Inputs and results'!$C$21+1),U32+((G33+I33+H33+J33-$V$6+T33)/((1+$P$2)^A33)),NA())</f>
        <v>#N/A</v>
      </c>
      <c r="V33" s="4" t="str">
        <f>IF(A33&lt;('2. Inputs and results'!$C$21+1),V32+('2. Inputs and results'!$C$75*'2. Inputs and results'!$C$73)," ")</f>
        <v xml:space="preserve"> </v>
      </c>
      <c r="W33" s="4" t="e">
        <f>IF(A33&lt;('2. Inputs and results'!$C$21+1),W32+C33+Y33-$V$6,NA())</f>
        <v>#N/A</v>
      </c>
      <c r="X33" s="4" t="str">
        <f>IF(A33&lt;('2. Inputs and results'!$C$21+1),'2. Inputs and results'!$C$79*(W32)," ")</f>
        <v xml:space="preserve"> </v>
      </c>
      <c r="Y33" s="4">
        <f t="shared" si="2"/>
        <v>0</v>
      </c>
      <c r="Z33" s="4" t="e">
        <f>IF(A33&lt;('2. Inputs and results'!$C$21+1),Z32+((C33-$V$6+Y33)/((1+$P$2)^A33)),NA())</f>
        <v>#N/A</v>
      </c>
      <c r="AA33" s="4" t="str">
        <f>IF(A33&lt;('2. Inputs and results'!$C$21+1),AA32+G33+I33+H33+T33-$V$6," ")</f>
        <v xml:space="preserve"> </v>
      </c>
      <c r="AB33" s="20" t="e">
        <f>IF(A33&lt;('2. Inputs and results'!$C$21+1),AA33/L33,NA())</f>
        <v>#N/A</v>
      </c>
      <c r="AC33" s="29" t="str">
        <f>IF(A33&lt;('2. Inputs and results'!$C$21+1),AC32+C33+Y33-$V$6," ")</f>
        <v xml:space="preserve"> </v>
      </c>
      <c r="AD33" s="20" t="e">
        <f>IF(A33&lt;('2. Inputs and results'!$C$21+1),AC33/L33,NA())</f>
        <v>#N/A</v>
      </c>
      <c r="AE33" t="str">
        <f>IF(A33&lt;('2. Inputs and results'!$C$21+1),-'2. Inputs and results'!$C$121*A33," ")</f>
        <v xml:space="preserve"> </v>
      </c>
      <c r="AF33" t="e">
        <f>IF(A33&lt;('2. Inputs and results'!$C$21+1),AE33/1000,NA())</f>
        <v>#N/A</v>
      </c>
    </row>
    <row r="34" spans="1:32" x14ac:dyDescent="0.25">
      <c r="A34">
        <f t="shared" si="0"/>
        <v>29</v>
      </c>
      <c r="B34" t="str">
        <f>IF(A34&lt;('2. Inputs and results'!$C$21+1),A34," ")</f>
        <v xml:space="preserve"> </v>
      </c>
      <c r="C34" s="4" t="str">
        <f>IF(A34&lt;('2. Inputs and results'!$C$21+1),'2. Inputs and results'!$C$99+'2. Inputs and results'!$C$101," ")</f>
        <v xml:space="preserve"> </v>
      </c>
      <c r="D34" s="4" t="e">
        <f>IF(A34&lt;('2. Inputs and results'!$C$21+1),D33+C34,NA())</f>
        <v>#N/A</v>
      </c>
      <c r="E34" s="4" t="str">
        <f>IF(A34&lt;('2. Inputs and results'!$C$21+1),C34/((1+$P$2)^A34)," ")</f>
        <v xml:space="preserve"> </v>
      </c>
      <c r="F34" s="4" t="str">
        <f>IF(B34&lt;('2. Inputs and results'!$C$21+1),F33+E34," ")</f>
        <v xml:space="preserve"> </v>
      </c>
      <c r="G34" s="4" t="str">
        <f>IF(A34&lt;('2. Inputs and results'!$C$21+1),G33*(1+'2. Inputs and results'!$C$44)," ")</f>
        <v xml:space="preserve"> </v>
      </c>
      <c r="H34" s="4" t="str">
        <f>IF(A34&lt;('2. Inputs and results'!$C$21+1),H33*(1+'2. Inputs and results'!$C$56)," ")</f>
        <v xml:space="preserve"> </v>
      </c>
      <c r="I34" s="4" t="str">
        <f>IF(A34&lt;('2. Inputs and results'!$C$21+1),I33*(1+'2. Inputs and results'!$C$32)," ")</f>
        <v xml:space="preserve"> </v>
      </c>
      <c r="J34" s="4" t="str">
        <f>IF(A34&lt;('2. Inputs and results'!$C$21+1),J33*(1+'2. Inputs and results'!$C$66)," ")</f>
        <v xml:space="preserve"> </v>
      </c>
      <c r="K34" s="4" t="e">
        <f>IF(A34&lt;('2. Inputs and results'!$C$21+1),K33+(G34+I34+H34+J34),NA())</f>
        <v>#N/A</v>
      </c>
      <c r="L34" s="4" t="e">
        <f>IF(A34&lt;('2. Inputs and results'!$C$21+1),L33,NA())</f>
        <v>#N/A</v>
      </c>
      <c r="M34" s="4" t="str">
        <f>IF(A34&lt;('2. Inputs and results'!$C$21+1),'2. Inputs and results'!$C$75*'2. Inputs and results'!$C$73," ")</f>
        <v xml:space="preserve"> </v>
      </c>
      <c r="N34" s="4" t="str">
        <f>IF(A34&lt;('2. Inputs and results'!$C$21+1),M34/((1+$P$2)^A34)," ")</f>
        <v xml:space="preserve"> </v>
      </c>
      <c r="O34" s="4" t="str">
        <f>IF(A34&lt;('2. Inputs and results'!$C$21+1),'2. Inputs and results'!$C$73*'2. Inputs and results'!$C$75+O33," ")</f>
        <v xml:space="preserve"> </v>
      </c>
      <c r="P34" s="4" t="str">
        <f>IF(A34&lt;('2. Inputs and results'!$C$21+1),(G34+I34+H34+J34)/((1+$P$2)^A34)," ")</f>
        <v xml:space="preserve"> </v>
      </c>
      <c r="Q34" s="4" t="str">
        <f>IF(A34&lt;('2. Inputs and results'!$C$21+1),Q33+P34," ")</f>
        <v xml:space="preserve"> </v>
      </c>
      <c r="R34" s="4" t="e">
        <f>IF(A34&lt;('2. Inputs and results'!$C$21+1),R33+G34+I34+H34+J34+T34-$V$6,NA())</f>
        <v>#N/A</v>
      </c>
      <c r="S34" s="4" t="str">
        <f>IF(A34&lt;('2. Inputs and results'!$C$21+1),'2. Inputs and results'!$C$79*(R33)," ")</f>
        <v xml:space="preserve"> </v>
      </c>
      <c r="T34" s="4">
        <f t="shared" si="1"/>
        <v>0</v>
      </c>
      <c r="U34" s="4" t="e">
        <f>IF(A34&lt;('2. Inputs and results'!$C$21+1),U33+((G34+I34+H34+J34-$V$6+T34)/((1+$P$2)^A34)),NA())</f>
        <v>#N/A</v>
      </c>
      <c r="V34" s="4" t="str">
        <f>IF(A34&lt;('2. Inputs and results'!$C$21+1),V33+('2. Inputs and results'!$C$75*'2. Inputs and results'!$C$73)," ")</f>
        <v xml:space="preserve"> </v>
      </c>
      <c r="W34" s="4" t="e">
        <f>IF(A34&lt;('2. Inputs and results'!$C$21+1),W33+C34+Y34-$V$6,NA())</f>
        <v>#N/A</v>
      </c>
      <c r="X34" s="4" t="str">
        <f>IF(A34&lt;('2. Inputs and results'!$C$21+1),'2. Inputs and results'!$C$79*(W33)," ")</f>
        <v xml:space="preserve"> </v>
      </c>
      <c r="Y34" s="4">
        <f t="shared" si="2"/>
        <v>0</v>
      </c>
      <c r="Z34" s="4" t="e">
        <f>IF(A34&lt;('2. Inputs and results'!$C$21+1),Z33+((C34-$V$6+Y34)/((1+$P$2)^A34)),NA())</f>
        <v>#N/A</v>
      </c>
      <c r="AA34" s="4" t="str">
        <f>IF(A34&lt;('2. Inputs and results'!$C$21+1),AA33+G34+I34+H34+T34-$V$6," ")</f>
        <v xml:space="preserve"> </v>
      </c>
      <c r="AB34" s="20" t="e">
        <f>IF(A34&lt;('2. Inputs and results'!$C$21+1),AA34/L34,NA())</f>
        <v>#N/A</v>
      </c>
      <c r="AC34" s="29" t="str">
        <f>IF(A34&lt;('2. Inputs and results'!$C$21+1),AC33+C34+Y34-$V$6," ")</f>
        <v xml:space="preserve"> </v>
      </c>
      <c r="AD34" s="20" t="e">
        <f>IF(A34&lt;('2. Inputs and results'!$C$21+1),AC34/L34,NA())</f>
        <v>#N/A</v>
      </c>
      <c r="AE34" t="str">
        <f>IF(A34&lt;('2. Inputs and results'!$C$21+1),-'2. Inputs and results'!$C$121*A34," ")</f>
        <v xml:space="preserve"> </v>
      </c>
      <c r="AF34" t="e">
        <f>IF(A34&lt;('2. Inputs and results'!$C$21+1),AE34/1000,NA())</f>
        <v>#N/A</v>
      </c>
    </row>
    <row r="35" spans="1:32" x14ac:dyDescent="0.25">
      <c r="A35">
        <f t="shared" si="0"/>
        <v>30</v>
      </c>
      <c r="B35" t="str">
        <f>IF(A35&lt;('2. Inputs and results'!$C$21+1),A35," ")</f>
        <v xml:space="preserve"> </v>
      </c>
      <c r="C35" s="4" t="str">
        <f>IF(A35&lt;('2. Inputs and results'!$C$21+1),'2. Inputs and results'!$C$99+'2. Inputs and results'!$C$101," ")</f>
        <v xml:space="preserve"> </v>
      </c>
      <c r="D35" s="4" t="e">
        <f>IF(A35&lt;('2. Inputs and results'!$C$21+1),D34+C35,NA())</f>
        <v>#N/A</v>
      </c>
      <c r="E35" s="4" t="str">
        <f>IF(A35&lt;('2. Inputs and results'!$C$21+1),C35/((1+$P$2)^A35)," ")</f>
        <v xml:space="preserve"> </v>
      </c>
      <c r="F35" s="4" t="str">
        <f>IF(B35&lt;('2. Inputs and results'!$C$21+1),F34+E35," ")</f>
        <v xml:space="preserve"> </v>
      </c>
      <c r="G35" s="4" t="str">
        <f>IF(A35&lt;('2. Inputs and results'!$C$21+1),G34*(1+'2. Inputs and results'!$C$44)," ")</f>
        <v xml:space="preserve"> </v>
      </c>
      <c r="H35" s="4" t="str">
        <f>IF(A35&lt;('2. Inputs and results'!$C$21+1),H34*(1+'2. Inputs and results'!$C$56)," ")</f>
        <v xml:space="preserve"> </v>
      </c>
      <c r="I35" s="4" t="str">
        <f>IF(A35&lt;('2. Inputs and results'!$C$21+1),I34*(1+'2. Inputs and results'!$C$32)," ")</f>
        <v xml:space="preserve"> </v>
      </c>
      <c r="J35" s="4" t="str">
        <f>IF(A35&lt;('2. Inputs and results'!$C$21+1),J34*(1+'2. Inputs and results'!$C$66)," ")</f>
        <v xml:space="preserve"> </v>
      </c>
      <c r="K35" s="4" t="e">
        <f>IF(A35&lt;('2. Inputs and results'!$C$21+1),K34+(G35+I35+H35+J35),NA())</f>
        <v>#N/A</v>
      </c>
      <c r="L35" s="4" t="e">
        <f>IF(A35&lt;('2. Inputs and results'!$C$21+1),L34,NA())</f>
        <v>#N/A</v>
      </c>
      <c r="M35" s="4" t="str">
        <f>IF(A35&lt;('2. Inputs and results'!$C$21+1),'2. Inputs and results'!$C$75*'2. Inputs and results'!$C$73," ")</f>
        <v xml:space="preserve"> </v>
      </c>
      <c r="N35" s="4" t="str">
        <f>IF(A35&lt;('2. Inputs and results'!$C$21+1),M35/((1+$P$2)^A35)," ")</f>
        <v xml:space="preserve"> </v>
      </c>
      <c r="O35" s="4" t="str">
        <f>IF(A35&lt;('2. Inputs and results'!$C$21+1),'2. Inputs and results'!$C$73*'2. Inputs and results'!$C$75+O34," ")</f>
        <v xml:space="preserve"> </v>
      </c>
      <c r="P35" s="4" t="str">
        <f>IF(A35&lt;('2. Inputs and results'!$C$21+1),(G35+I35+H35+J35)/((1+$P$2)^A35)," ")</f>
        <v xml:space="preserve"> </v>
      </c>
      <c r="Q35" s="4" t="str">
        <f>IF(A35&lt;('2. Inputs and results'!$C$21+1),Q34+P35," ")</f>
        <v xml:space="preserve"> </v>
      </c>
      <c r="R35" s="4" t="e">
        <f>IF(A35&lt;('2. Inputs and results'!$C$21+1),R34+G35+I35+H35+J35+T35-$V$6,NA())</f>
        <v>#N/A</v>
      </c>
      <c r="S35" s="4" t="str">
        <f>IF(A35&lt;('2. Inputs and results'!$C$21+1),'2. Inputs and results'!$C$79*(R34)," ")</f>
        <v xml:space="preserve"> </v>
      </c>
      <c r="T35" s="4">
        <f t="shared" si="1"/>
        <v>0</v>
      </c>
      <c r="U35" s="4" t="e">
        <f>IF(A35&lt;('2. Inputs and results'!$C$21+1),U34+((G35+I35+H35+J35-$V$6+T35)/((1+$P$2)^A35)),NA())</f>
        <v>#N/A</v>
      </c>
      <c r="V35" s="4" t="str">
        <f>IF(A35&lt;('2. Inputs and results'!$C$21+1),V34+('2. Inputs and results'!$C$75*'2. Inputs and results'!$C$73)," ")</f>
        <v xml:space="preserve"> </v>
      </c>
      <c r="W35" s="4" t="e">
        <f>IF(A35&lt;('2. Inputs and results'!$C$21+1),W34+C35+Y35-$V$6,NA())</f>
        <v>#N/A</v>
      </c>
      <c r="X35" s="4" t="str">
        <f>IF(A35&lt;('2. Inputs and results'!$C$21+1),'2. Inputs and results'!$C$79*(W34)," ")</f>
        <v xml:space="preserve"> </v>
      </c>
      <c r="Y35" s="4">
        <f t="shared" si="2"/>
        <v>0</v>
      </c>
      <c r="Z35" s="4" t="e">
        <f>IF(A35&lt;('2. Inputs and results'!$C$21+1),Z34+((C35-$V$6+Y35)/((1+$P$2)^A35)),NA())</f>
        <v>#N/A</v>
      </c>
      <c r="AA35" s="4" t="str">
        <f>IF(A35&lt;('2. Inputs and results'!$C$21+1),AA34+G35+I35+H35+T35-$V$6," ")</f>
        <v xml:space="preserve"> </v>
      </c>
      <c r="AB35" s="20" t="e">
        <f>IF(A35&lt;('2. Inputs and results'!$C$21+1),AA35/L35,NA())</f>
        <v>#N/A</v>
      </c>
      <c r="AC35" s="29" t="str">
        <f>IF(A35&lt;('2. Inputs and results'!$C$21+1),AC34+C35+Y35-$V$6," ")</f>
        <v xml:space="preserve"> </v>
      </c>
      <c r="AD35" s="20" t="e">
        <f>IF(A35&lt;('2. Inputs and results'!$C$21+1),AC35/L35,NA())</f>
        <v>#N/A</v>
      </c>
      <c r="AE35" t="str">
        <f>IF(A35&lt;('2. Inputs and results'!$C$21+1),-'2. Inputs and results'!$C$121*A35," ")</f>
        <v xml:space="preserve"> </v>
      </c>
      <c r="AF35" t="e">
        <f>IF(A35&lt;('2. Inputs and results'!$C$21+1),AE35/1000,NA())</f>
        <v>#N/A</v>
      </c>
    </row>
    <row r="36" spans="1:32" x14ac:dyDescent="0.25">
      <c r="A36">
        <f t="shared" si="0"/>
        <v>31</v>
      </c>
      <c r="B36" t="str">
        <f>IF(A36&lt;('2. Inputs and results'!$C$21+1),A36," ")</f>
        <v xml:space="preserve"> </v>
      </c>
      <c r="C36" s="4" t="str">
        <f>IF(A36&lt;('2. Inputs and results'!$C$21+1),'2. Inputs and results'!$C$99+'2. Inputs and results'!$C$101," ")</f>
        <v xml:space="preserve"> </v>
      </c>
      <c r="D36" s="4" t="e">
        <f>IF(A36&lt;('2. Inputs and results'!$C$21+1),D35+C36,NA())</f>
        <v>#N/A</v>
      </c>
      <c r="E36" s="4" t="str">
        <f>IF(A36&lt;('2. Inputs and results'!$C$21+1),C36/((1+$P$2)^A36)," ")</f>
        <v xml:space="preserve"> </v>
      </c>
      <c r="F36" s="4" t="str">
        <f>IF(B36&lt;('2. Inputs and results'!$C$21+1),F35+E36," ")</f>
        <v xml:space="preserve"> </v>
      </c>
      <c r="G36" s="4" t="str">
        <f>IF(A36&lt;('2. Inputs and results'!$C$21+1),G35*(1+'2. Inputs and results'!$C$44)," ")</f>
        <v xml:space="preserve"> </v>
      </c>
      <c r="H36" s="4" t="str">
        <f>IF(A36&lt;('2. Inputs and results'!$C$21+1),H35*(1+'2. Inputs and results'!$C$56)," ")</f>
        <v xml:space="preserve"> </v>
      </c>
      <c r="I36" s="4" t="str">
        <f>IF(A36&lt;('2. Inputs and results'!$C$21+1),I35*(1+'2. Inputs and results'!$C$32)," ")</f>
        <v xml:space="preserve"> </v>
      </c>
      <c r="J36" s="4" t="str">
        <f>IF(A36&lt;('2. Inputs and results'!$C$21+1),J35*(1+'2. Inputs and results'!$C$66)," ")</f>
        <v xml:space="preserve"> </v>
      </c>
      <c r="K36" s="4" t="e">
        <f>IF(A36&lt;('2. Inputs and results'!$C$21+1),K35+(G36+I36+H36+J36),NA())</f>
        <v>#N/A</v>
      </c>
      <c r="L36" s="4" t="e">
        <f>IF(A36&lt;('2. Inputs and results'!$C$21+1),L35,NA())</f>
        <v>#N/A</v>
      </c>
      <c r="M36" s="4" t="str">
        <f>IF(A36&lt;('2. Inputs and results'!$C$21+1),'2. Inputs and results'!$C$75*'2. Inputs and results'!$C$73," ")</f>
        <v xml:space="preserve"> </v>
      </c>
      <c r="N36" s="4" t="str">
        <f>IF(A36&lt;('2. Inputs and results'!$C$21+1),M36/((1+$P$2)^A36)," ")</f>
        <v xml:space="preserve"> </v>
      </c>
      <c r="O36" s="4" t="str">
        <f>IF(A36&lt;('2. Inputs and results'!$C$21+1),'2. Inputs and results'!$C$73*'2. Inputs and results'!$C$75+O35," ")</f>
        <v xml:space="preserve"> </v>
      </c>
      <c r="P36" s="4" t="str">
        <f>IF(A36&lt;('2. Inputs and results'!$C$21+1),(G36+I36+H36+J36)/((1+$P$2)^A36)," ")</f>
        <v xml:space="preserve"> </v>
      </c>
      <c r="Q36" s="4" t="str">
        <f>IF(A36&lt;('2. Inputs and results'!$C$21+1),Q35+P36," ")</f>
        <v xml:space="preserve"> </v>
      </c>
      <c r="R36" s="4" t="e">
        <f>IF(A36&lt;('2. Inputs and results'!$C$21+1),R35+G36+I36+H36+J36+T36-$V$6,NA())</f>
        <v>#N/A</v>
      </c>
      <c r="S36" s="4" t="str">
        <f>IF(A36&lt;('2. Inputs and results'!$C$21+1),'2. Inputs and results'!$C$79*(R35)," ")</f>
        <v xml:space="preserve"> </v>
      </c>
      <c r="T36" s="4">
        <f t="shared" si="1"/>
        <v>0</v>
      </c>
      <c r="U36" s="4" t="e">
        <f>IF(A36&lt;('2. Inputs and results'!$C$21+1),U35+((G36+I36+H36+J36-$V$6+T36)/((1+$P$2)^A36)),NA())</f>
        <v>#N/A</v>
      </c>
      <c r="V36" s="4" t="str">
        <f>IF(A36&lt;('2. Inputs and results'!$C$21+1),V35+('2. Inputs and results'!$C$75*'2. Inputs and results'!$C$73)," ")</f>
        <v xml:space="preserve"> </v>
      </c>
      <c r="W36" s="4" t="e">
        <f>IF(A36&lt;('2. Inputs and results'!$C$21+1),W35+C36+Y36-$V$6,NA())</f>
        <v>#N/A</v>
      </c>
      <c r="X36" s="4" t="str">
        <f>IF(A36&lt;('2. Inputs and results'!$C$21+1),'2. Inputs and results'!$C$79*(W35)," ")</f>
        <v xml:space="preserve"> </v>
      </c>
      <c r="Y36" s="4">
        <f t="shared" si="2"/>
        <v>0</v>
      </c>
      <c r="Z36" s="4" t="e">
        <f>IF(A36&lt;('2. Inputs and results'!$C$21+1),Z35+((C36-$V$6+Y36)/((1+$P$2)^A36)),NA())</f>
        <v>#N/A</v>
      </c>
      <c r="AA36" s="4" t="str">
        <f>IF(A36&lt;('2. Inputs and results'!$C$21+1),AA35+G36+I36+H36+T36-$V$6," ")</f>
        <v xml:space="preserve"> </v>
      </c>
      <c r="AB36" s="20" t="e">
        <f>IF(A36&lt;('2. Inputs and results'!$C$21+1),AA36/L36,NA())</f>
        <v>#N/A</v>
      </c>
      <c r="AC36" s="29" t="str">
        <f>IF(A36&lt;('2. Inputs and results'!$C$21+1),AC35+C36+Y36-$V$6," ")</f>
        <v xml:space="preserve"> </v>
      </c>
      <c r="AD36" s="20" t="e">
        <f>IF(A36&lt;('2. Inputs and results'!$C$21+1),AC36/L36,NA())</f>
        <v>#N/A</v>
      </c>
      <c r="AE36" t="str">
        <f>IF(A36&lt;('2. Inputs and results'!$C$21+1),-'2. Inputs and results'!$C$121*A36," ")</f>
        <v xml:space="preserve"> </v>
      </c>
      <c r="AF36" t="e">
        <f>IF(A36&lt;('2. Inputs and results'!$C$21+1),AE36/1000,NA())</f>
        <v>#N/A</v>
      </c>
    </row>
    <row r="37" spans="1:32" x14ac:dyDescent="0.25">
      <c r="A37">
        <f t="shared" si="0"/>
        <v>32</v>
      </c>
      <c r="B37" t="str">
        <f>IF(A37&lt;('2. Inputs and results'!$C$21+1),A37," ")</f>
        <v xml:space="preserve"> </v>
      </c>
      <c r="C37" s="4" t="str">
        <f>IF(A37&lt;('2. Inputs and results'!$C$21+1),'2. Inputs and results'!$C$99+'2. Inputs and results'!$C$101," ")</f>
        <v xml:space="preserve"> </v>
      </c>
      <c r="D37" s="4" t="e">
        <f>IF(A37&lt;('2. Inputs and results'!$C$21+1),D36+C37,NA())</f>
        <v>#N/A</v>
      </c>
      <c r="E37" s="4" t="str">
        <f>IF(A37&lt;('2. Inputs and results'!$C$21+1),C37/((1+$P$2)^A37)," ")</f>
        <v xml:space="preserve"> </v>
      </c>
      <c r="F37" s="4" t="str">
        <f>IF(B37&lt;('2. Inputs and results'!$C$21+1),F36+E37," ")</f>
        <v xml:space="preserve"> </v>
      </c>
      <c r="G37" s="4" t="str">
        <f>IF(A37&lt;('2. Inputs and results'!$C$21+1),G36*(1+'2. Inputs and results'!$C$44)," ")</f>
        <v xml:space="preserve"> </v>
      </c>
      <c r="H37" s="4" t="str">
        <f>IF(A37&lt;('2. Inputs and results'!$C$21+1),H36*(1+'2. Inputs and results'!$C$56)," ")</f>
        <v xml:space="preserve"> </v>
      </c>
      <c r="I37" s="4" t="str">
        <f>IF(A37&lt;('2. Inputs and results'!$C$21+1),I36*(1+'2. Inputs and results'!$C$32)," ")</f>
        <v xml:space="preserve"> </v>
      </c>
      <c r="J37" s="4" t="str">
        <f>IF(A37&lt;('2. Inputs and results'!$C$21+1),J36*(1+'2. Inputs and results'!$C$66)," ")</f>
        <v xml:space="preserve"> </v>
      </c>
      <c r="K37" s="4" t="e">
        <f>IF(A37&lt;('2. Inputs and results'!$C$21+1),K36+(G37+I37+H37+J37),NA())</f>
        <v>#N/A</v>
      </c>
      <c r="L37" s="4" t="e">
        <f>IF(A37&lt;('2. Inputs and results'!$C$21+1),L36,NA())</f>
        <v>#N/A</v>
      </c>
      <c r="M37" s="4" t="str">
        <f>IF(A37&lt;('2. Inputs and results'!$C$21+1),'2. Inputs and results'!$C$75*'2. Inputs and results'!$C$73," ")</f>
        <v xml:space="preserve"> </v>
      </c>
      <c r="N37" s="4" t="str">
        <f>IF(A37&lt;('2. Inputs and results'!$C$21+1),M37/((1+$P$2)^A37)," ")</f>
        <v xml:space="preserve"> </v>
      </c>
      <c r="O37" s="4" t="str">
        <f>IF(A37&lt;('2. Inputs and results'!$C$21+1),'2. Inputs and results'!$C$73*'2. Inputs and results'!$C$75+O36," ")</f>
        <v xml:space="preserve"> </v>
      </c>
      <c r="P37" s="4" t="str">
        <f>IF(A37&lt;('2. Inputs and results'!$C$21+1),(G37+I37+H37+J37)/((1+$P$2)^A37)," ")</f>
        <v xml:space="preserve"> </v>
      </c>
      <c r="Q37" s="4" t="str">
        <f>IF(A37&lt;('2. Inputs and results'!$C$21+1),Q36+P37," ")</f>
        <v xml:space="preserve"> </v>
      </c>
      <c r="R37" s="4" t="e">
        <f>IF(A37&lt;('2. Inputs and results'!$C$21+1),R36+G37+I37+H37+J37+T37-$V$6,NA())</f>
        <v>#N/A</v>
      </c>
      <c r="S37" s="4" t="str">
        <f>IF(A37&lt;('2. Inputs and results'!$C$21+1),'2. Inputs and results'!$C$79*(R36)," ")</f>
        <v xml:space="preserve"> </v>
      </c>
      <c r="T37" s="4">
        <f t="shared" si="1"/>
        <v>0</v>
      </c>
      <c r="U37" s="4" t="e">
        <f>IF(A37&lt;('2. Inputs and results'!$C$21+1),U36+((G37+I37+H37+J37-$V$6+T37)/((1+$P$2)^A37)),NA())</f>
        <v>#N/A</v>
      </c>
      <c r="V37" s="4" t="str">
        <f>IF(A37&lt;('2. Inputs and results'!$C$21+1),V36+('2. Inputs and results'!$C$75*'2. Inputs and results'!$C$73)," ")</f>
        <v xml:space="preserve"> </v>
      </c>
      <c r="W37" s="4" t="e">
        <f>IF(A37&lt;('2. Inputs and results'!$C$21+1),W36+C37+Y37-$V$6,NA())</f>
        <v>#N/A</v>
      </c>
      <c r="X37" s="4" t="str">
        <f>IF(A37&lt;('2. Inputs and results'!$C$21+1),'2. Inputs and results'!$C$79*(W36)," ")</f>
        <v xml:space="preserve"> </v>
      </c>
      <c r="Y37" s="4">
        <f t="shared" si="2"/>
        <v>0</v>
      </c>
      <c r="Z37" s="4" t="e">
        <f>IF(A37&lt;('2. Inputs and results'!$C$21+1),Z36+((C37-$V$6+Y37)/((1+$P$2)^A37)),NA())</f>
        <v>#N/A</v>
      </c>
      <c r="AA37" s="4" t="str">
        <f>IF(A37&lt;('2. Inputs and results'!$C$21+1),AA36+G37+I37+H37+T37-$V$6," ")</f>
        <v xml:space="preserve"> </v>
      </c>
      <c r="AB37" s="20" t="e">
        <f>IF(A37&lt;('2. Inputs and results'!$C$21+1),AA37/L37,NA())</f>
        <v>#N/A</v>
      </c>
      <c r="AC37" s="29" t="str">
        <f>IF(A37&lt;('2. Inputs and results'!$C$21+1),AC36+C37+Y37-$V$6," ")</f>
        <v xml:space="preserve"> </v>
      </c>
      <c r="AD37" s="20" t="e">
        <f>IF(A37&lt;('2. Inputs and results'!$C$21+1),AC37/L37,NA())</f>
        <v>#N/A</v>
      </c>
      <c r="AE37" t="str">
        <f>IF(A37&lt;('2. Inputs and results'!$C$21+1),-'2. Inputs and results'!$C$121*A37," ")</f>
        <v xml:space="preserve"> </v>
      </c>
      <c r="AF37" t="e">
        <f>IF(A37&lt;('2. Inputs and results'!$C$21+1),AE37/1000,NA())</f>
        <v>#N/A</v>
      </c>
    </row>
    <row r="38" spans="1:32" x14ac:dyDescent="0.25">
      <c r="A38">
        <f t="shared" si="0"/>
        <v>33</v>
      </c>
      <c r="B38" t="str">
        <f>IF(A38&lt;('2. Inputs and results'!$C$21+1),A38," ")</f>
        <v xml:space="preserve"> </v>
      </c>
      <c r="C38" s="4" t="str">
        <f>IF(A38&lt;('2. Inputs and results'!$C$21+1),'2. Inputs and results'!$C$99+'2. Inputs and results'!$C$101," ")</f>
        <v xml:space="preserve"> </v>
      </c>
      <c r="D38" s="4" t="e">
        <f>IF(A38&lt;('2. Inputs and results'!$C$21+1),D37+C38,NA())</f>
        <v>#N/A</v>
      </c>
      <c r="E38" s="4" t="str">
        <f>IF(A38&lt;('2. Inputs and results'!$C$21+1),C38/((1+$P$2)^A38)," ")</f>
        <v xml:space="preserve"> </v>
      </c>
      <c r="F38" s="4" t="str">
        <f>IF(B38&lt;('2. Inputs and results'!$C$21+1),F37+E38," ")</f>
        <v xml:space="preserve"> </v>
      </c>
      <c r="G38" s="4" t="str">
        <f>IF(A38&lt;('2. Inputs and results'!$C$21+1),G37*(1+'2. Inputs and results'!$C$44)," ")</f>
        <v xml:space="preserve"> </v>
      </c>
      <c r="H38" s="4" t="str">
        <f>IF(A38&lt;('2. Inputs and results'!$C$21+1),H37*(1+'2. Inputs and results'!$C$56)," ")</f>
        <v xml:space="preserve"> </v>
      </c>
      <c r="I38" s="4" t="str">
        <f>IF(A38&lt;('2. Inputs and results'!$C$21+1),I37*(1+'2. Inputs and results'!$C$32)," ")</f>
        <v xml:space="preserve"> </v>
      </c>
      <c r="J38" s="4" t="str">
        <f>IF(A38&lt;('2. Inputs and results'!$C$21+1),J37*(1+'2. Inputs and results'!$C$66)," ")</f>
        <v xml:space="preserve"> </v>
      </c>
      <c r="K38" s="4" t="e">
        <f>IF(A38&lt;('2. Inputs and results'!$C$21+1),K37+(G38+I38+H38+J38),NA())</f>
        <v>#N/A</v>
      </c>
      <c r="L38" s="4" t="e">
        <f>IF(A38&lt;('2. Inputs and results'!$C$21+1),L37,NA())</f>
        <v>#N/A</v>
      </c>
      <c r="M38" s="4" t="str">
        <f>IF(A38&lt;('2. Inputs and results'!$C$21+1),'2. Inputs and results'!$C$75*'2. Inputs and results'!$C$73," ")</f>
        <v xml:space="preserve"> </v>
      </c>
      <c r="N38" s="4" t="str">
        <f>IF(A38&lt;('2. Inputs and results'!$C$21+1),M38/((1+$P$2)^A38)," ")</f>
        <v xml:space="preserve"> </v>
      </c>
      <c r="O38" s="4" t="str">
        <f>IF(A38&lt;('2. Inputs and results'!$C$21+1),'2. Inputs and results'!$C$73*'2. Inputs and results'!$C$75+O37," ")</f>
        <v xml:space="preserve"> </v>
      </c>
      <c r="P38" s="4" t="str">
        <f>IF(A38&lt;('2. Inputs and results'!$C$21+1),(G38+I38+H38+J38)/((1+$P$2)^A38)," ")</f>
        <v xml:space="preserve"> </v>
      </c>
      <c r="Q38" s="4" t="str">
        <f>IF(A38&lt;('2. Inputs and results'!$C$21+1),Q37+P38," ")</f>
        <v xml:space="preserve"> </v>
      </c>
      <c r="R38" s="4" t="e">
        <f>IF(A38&lt;('2. Inputs and results'!$C$21+1),R37+G38+I38+H38+J38+T38-$V$6,NA())</f>
        <v>#N/A</v>
      </c>
      <c r="S38" s="4" t="str">
        <f>IF(A38&lt;('2. Inputs and results'!$C$21+1),'2. Inputs and results'!$C$79*(R37)," ")</f>
        <v xml:space="preserve"> </v>
      </c>
      <c r="T38" s="4">
        <f t="shared" si="1"/>
        <v>0</v>
      </c>
      <c r="U38" s="4" t="e">
        <f>IF(A38&lt;('2. Inputs and results'!$C$21+1),U37+((G38+I38+H38+J38-$V$6+T38)/((1+$P$2)^A38)),NA())</f>
        <v>#N/A</v>
      </c>
      <c r="V38" s="4" t="str">
        <f>IF(A38&lt;('2. Inputs and results'!$C$21+1),V37+('2. Inputs and results'!$C$75*'2. Inputs and results'!$C$73)," ")</f>
        <v xml:space="preserve"> </v>
      </c>
      <c r="W38" s="4" t="e">
        <f>IF(A38&lt;('2. Inputs and results'!$C$21+1),W37+C38+Y38-$V$6,NA())</f>
        <v>#N/A</v>
      </c>
      <c r="X38" s="4" t="str">
        <f>IF(A38&lt;('2. Inputs and results'!$C$21+1),'2. Inputs and results'!$C$79*(W37)," ")</f>
        <v xml:space="preserve"> </v>
      </c>
      <c r="Y38" s="4">
        <f t="shared" si="2"/>
        <v>0</v>
      </c>
      <c r="Z38" s="4" t="e">
        <f>IF(A38&lt;('2. Inputs and results'!$C$21+1),Z37+((C38-$V$6+Y38)/((1+$P$2)^A38)),NA())</f>
        <v>#N/A</v>
      </c>
      <c r="AA38" s="4" t="str">
        <f>IF(A38&lt;('2. Inputs and results'!$C$21+1),AA37+G38+I38+H38+T38-$V$6," ")</f>
        <v xml:space="preserve"> </v>
      </c>
      <c r="AB38" s="20" t="e">
        <f>IF(A38&lt;('2. Inputs and results'!$C$21+1),AA38/L38,NA())</f>
        <v>#N/A</v>
      </c>
      <c r="AC38" s="29" t="str">
        <f>IF(A38&lt;('2. Inputs and results'!$C$21+1),AC37+C38+Y38-$V$6," ")</f>
        <v xml:space="preserve"> </v>
      </c>
      <c r="AD38" s="20" t="e">
        <f>IF(A38&lt;('2. Inputs and results'!$C$21+1),AC38/L38,NA())</f>
        <v>#N/A</v>
      </c>
      <c r="AE38" t="str">
        <f>IF(A38&lt;('2. Inputs and results'!$C$21+1),-'2. Inputs and results'!$C$121*A38," ")</f>
        <v xml:space="preserve"> </v>
      </c>
      <c r="AF38" t="e">
        <f>IF(A38&lt;('2. Inputs and results'!$C$21+1),AE38/1000,NA())</f>
        <v>#N/A</v>
      </c>
    </row>
    <row r="39" spans="1:32" x14ac:dyDescent="0.25">
      <c r="A39">
        <f t="shared" si="0"/>
        <v>34</v>
      </c>
      <c r="B39" t="str">
        <f>IF(A39&lt;('2. Inputs and results'!$C$21+1),A39," ")</f>
        <v xml:space="preserve"> </v>
      </c>
      <c r="C39" s="4" t="str">
        <f>IF(A39&lt;('2. Inputs and results'!$C$21+1),'2. Inputs and results'!$C$99+'2. Inputs and results'!$C$101," ")</f>
        <v xml:space="preserve"> </v>
      </c>
      <c r="D39" s="4" t="e">
        <f>IF(A39&lt;('2. Inputs and results'!$C$21+1),D38+C39,NA())</f>
        <v>#N/A</v>
      </c>
      <c r="E39" s="4" t="str">
        <f>IF(A39&lt;('2. Inputs and results'!$C$21+1),C39/((1+$P$2)^A39)," ")</f>
        <v xml:space="preserve"> </v>
      </c>
      <c r="F39" s="4" t="str">
        <f>IF(B39&lt;('2. Inputs and results'!$C$21+1),F38+E39," ")</f>
        <v xml:space="preserve"> </v>
      </c>
      <c r="G39" s="4" t="str">
        <f>IF(A39&lt;('2. Inputs and results'!$C$21+1),G38*(1+'2. Inputs and results'!$C$44)," ")</f>
        <v xml:space="preserve"> </v>
      </c>
      <c r="H39" s="4" t="str">
        <f>IF(A39&lt;('2. Inputs and results'!$C$21+1),H38*(1+'2. Inputs and results'!$C$56)," ")</f>
        <v xml:space="preserve"> </v>
      </c>
      <c r="I39" s="4" t="str">
        <f>IF(A39&lt;('2. Inputs and results'!$C$21+1),I38*(1+'2. Inputs and results'!$C$32)," ")</f>
        <v xml:space="preserve"> </v>
      </c>
      <c r="J39" s="4" t="str">
        <f>IF(A39&lt;('2. Inputs and results'!$C$21+1),J38*(1+'2. Inputs and results'!$C$66)," ")</f>
        <v xml:space="preserve"> </v>
      </c>
      <c r="K39" s="4" t="e">
        <f>IF(A39&lt;('2. Inputs and results'!$C$21+1),K38+(G39+I39+H39+J39),NA())</f>
        <v>#N/A</v>
      </c>
      <c r="L39" s="4" t="e">
        <f>IF(A39&lt;('2. Inputs and results'!$C$21+1),L38,NA())</f>
        <v>#N/A</v>
      </c>
      <c r="M39" s="4" t="str">
        <f>IF(A39&lt;('2. Inputs and results'!$C$21+1),'2. Inputs and results'!$C$75*'2. Inputs and results'!$C$73," ")</f>
        <v xml:space="preserve"> </v>
      </c>
      <c r="N39" s="4" t="str">
        <f>IF(A39&lt;('2. Inputs and results'!$C$21+1),M39/((1+$P$2)^A39)," ")</f>
        <v xml:space="preserve"> </v>
      </c>
      <c r="O39" s="4" t="str">
        <f>IF(A39&lt;('2. Inputs and results'!$C$21+1),'2. Inputs and results'!$C$73*'2. Inputs and results'!$C$75+O38," ")</f>
        <v xml:space="preserve"> </v>
      </c>
      <c r="P39" s="4" t="str">
        <f>IF(A39&lt;('2. Inputs and results'!$C$21+1),(G39+I39+H39+J39)/((1+$P$2)^A39)," ")</f>
        <v xml:space="preserve"> </v>
      </c>
      <c r="Q39" s="4" t="str">
        <f>IF(A39&lt;('2. Inputs and results'!$C$21+1),Q38+P39," ")</f>
        <v xml:space="preserve"> </v>
      </c>
      <c r="R39" s="4" t="e">
        <f>IF(A39&lt;('2. Inputs and results'!$C$21+1),R38+G39+I39+H39+J39+T39-$V$6,NA())</f>
        <v>#N/A</v>
      </c>
      <c r="S39" s="4" t="str">
        <f>IF(A39&lt;('2. Inputs and results'!$C$21+1),'2. Inputs and results'!$C$79*(R38)," ")</f>
        <v xml:space="preserve"> </v>
      </c>
      <c r="T39" s="4">
        <f t="shared" si="1"/>
        <v>0</v>
      </c>
      <c r="U39" s="4" t="e">
        <f>IF(A39&lt;('2. Inputs and results'!$C$21+1),U38+((G39+I39+H39+J39-$V$6+T39)/((1+$P$2)^A39)),NA())</f>
        <v>#N/A</v>
      </c>
      <c r="V39" s="4" t="str">
        <f>IF(A39&lt;('2. Inputs and results'!$C$21+1),V38+('2. Inputs and results'!$C$75*'2. Inputs and results'!$C$73)," ")</f>
        <v xml:space="preserve"> </v>
      </c>
      <c r="W39" s="4" t="e">
        <f>IF(A39&lt;('2. Inputs and results'!$C$21+1),W38+C39+Y39-$V$6,NA())</f>
        <v>#N/A</v>
      </c>
      <c r="X39" s="4" t="str">
        <f>IF(A39&lt;('2. Inputs and results'!$C$21+1),'2. Inputs and results'!$C$79*(W38)," ")</f>
        <v xml:space="preserve"> </v>
      </c>
      <c r="Y39" s="4">
        <f t="shared" si="2"/>
        <v>0</v>
      </c>
      <c r="Z39" s="4" t="e">
        <f>IF(A39&lt;('2. Inputs and results'!$C$21+1),Z38+((C39-$V$6+Y39)/((1+$P$2)^A39)),NA())</f>
        <v>#N/A</v>
      </c>
      <c r="AA39" s="4" t="str">
        <f>IF(A39&lt;('2. Inputs and results'!$C$21+1),AA38+G39+I39+H39+T39-$V$6," ")</f>
        <v xml:space="preserve"> </v>
      </c>
      <c r="AB39" s="20" t="e">
        <f>IF(A39&lt;('2. Inputs and results'!$C$21+1),AA39/L39,NA())</f>
        <v>#N/A</v>
      </c>
      <c r="AC39" s="29" t="str">
        <f>IF(A39&lt;('2. Inputs and results'!$C$21+1),AC38+C39+Y39-$V$6," ")</f>
        <v xml:space="preserve"> </v>
      </c>
      <c r="AD39" s="20" t="e">
        <f>IF(A39&lt;('2. Inputs and results'!$C$21+1),AC39/L39,NA())</f>
        <v>#N/A</v>
      </c>
      <c r="AE39" t="str">
        <f>IF(A39&lt;('2. Inputs and results'!$C$21+1),-'2. Inputs and results'!$C$121*A39," ")</f>
        <v xml:space="preserve"> </v>
      </c>
      <c r="AF39" t="e">
        <f>IF(A39&lt;('2. Inputs and results'!$C$21+1),AE39/1000,NA())</f>
        <v>#N/A</v>
      </c>
    </row>
    <row r="40" spans="1:32" x14ac:dyDescent="0.25">
      <c r="A40">
        <f t="shared" si="0"/>
        <v>35</v>
      </c>
      <c r="B40" t="str">
        <f>IF(A40&lt;('2. Inputs and results'!$C$21+1),A40," ")</f>
        <v xml:space="preserve"> </v>
      </c>
      <c r="C40" s="4" t="str">
        <f>IF(A40&lt;('2. Inputs and results'!$C$21+1),'2. Inputs and results'!$C$99+'2. Inputs and results'!$C$101," ")</f>
        <v xml:space="preserve"> </v>
      </c>
      <c r="D40" s="4" t="e">
        <f>IF(A40&lt;('2. Inputs and results'!$C$21+1),D39+C40,NA())</f>
        <v>#N/A</v>
      </c>
      <c r="E40" s="4" t="str">
        <f>IF(A40&lt;('2. Inputs and results'!$C$21+1),C40/((1+$P$2)^A40)," ")</f>
        <v xml:space="preserve"> </v>
      </c>
      <c r="F40" s="4" t="str">
        <f>IF(B40&lt;('2. Inputs and results'!$C$21+1),F39+E40," ")</f>
        <v xml:space="preserve"> </v>
      </c>
      <c r="G40" s="4" t="str">
        <f>IF(A40&lt;('2. Inputs and results'!$C$21+1),G39*(1+'2. Inputs and results'!$C$44)," ")</f>
        <v xml:space="preserve"> </v>
      </c>
      <c r="H40" s="4" t="str">
        <f>IF(A40&lt;('2. Inputs and results'!$C$21+1),H39*(1+'2. Inputs and results'!$C$56)," ")</f>
        <v xml:space="preserve"> </v>
      </c>
      <c r="I40" s="4" t="str">
        <f>IF(A40&lt;('2. Inputs and results'!$C$21+1),I39*(1+'2. Inputs and results'!$C$32)," ")</f>
        <v xml:space="preserve"> </v>
      </c>
      <c r="J40" s="4" t="str">
        <f>IF(A40&lt;('2. Inputs and results'!$C$21+1),J39*(1+'2. Inputs and results'!$C$66)," ")</f>
        <v xml:space="preserve"> </v>
      </c>
      <c r="K40" s="4" t="e">
        <f>IF(A40&lt;('2. Inputs and results'!$C$21+1),K39+(G40+I40+H40+J40),NA())</f>
        <v>#N/A</v>
      </c>
      <c r="L40" s="4" t="e">
        <f>IF(A40&lt;('2. Inputs and results'!$C$21+1),L39,NA())</f>
        <v>#N/A</v>
      </c>
      <c r="M40" s="4" t="str">
        <f>IF(A40&lt;('2. Inputs and results'!$C$21+1),'2. Inputs and results'!$C$75*'2. Inputs and results'!$C$73," ")</f>
        <v xml:space="preserve"> </v>
      </c>
      <c r="N40" s="4" t="str">
        <f>IF(A40&lt;('2. Inputs and results'!$C$21+1),M40/((1+$P$2)^A40)," ")</f>
        <v xml:space="preserve"> </v>
      </c>
      <c r="O40" s="4" t="str">
        <f>IF(A40&lt;('2. Inputs and results'!$C$21+1),'2. Inputs and results'!$C$73*'2. Inputs and results'!$C$75+O39," ")</f>
        <v xml:space="preserve"> </v>
      </c>
      <c r="P40" s="4" t="str">
        <f>IF(A40&lt;('2. Inputs and results'!$C$21+1),(G40+I40+H40+J40)/((1+$P$2)^A40)," ")</f>
        <v xml:space="preserve"> </v>
      </c>
      <c r="Q40" s="4" t="str">
        <f>IF(A40&lt;('2. Inputs and results'!$C$21+1),Q39+P40," ")</f>
        <v xml:space="preserve"> </v>
      </c>
      <c r="R40" s="4" t="e">
        <f>IF(A40&lt;('2. Inputs and results'!$C$21+1),R39+G40+I40+H40+J40+T40-$V$6,NA())</f>
        <v>#N/A</v>
      </c>
      <c r="S40" s="4" t="str">
        <f>IF(A40&lt;('2. Inputs and results'!$C$21+1),'2. Inputs and results'!$C$79*(R39)," ")</f>
        <v xml:space="preserve"> </v>
      </c>
      <c r="T40" s="4">
        <f t="shared" si="1"/>
        <v>0</v>
      </c>
      <c r="U40" s="4" t="e">
        <f>IF(A40&lt;('2. Inputs and results'!$C$21+1),U39+((G40+I40+H40+J40-$V$6+T40)/((1+$P$2)^A40)),NA())</f>
        <v>#N/A</v>
      </c>
      <c r="V40" s="4" t="str">
        <f>IF(A40&lt;('2. Inputs and results'!$C$21+1),V39+('2. Inputs and results'!$C$75*'2. Inputs and results'!$C$73)," ")</f>
        <v xml:space="preserve"> </v>
      </c>
      <c r="W40" s="4" t="e">
        <f>IF(A40&lt;('2. Inputs and results'!$C$21+1),W39+C40+Y40-$V$6,NA())</f>
        <v>#N/A</v>
      </c>
      <c r="X40" s="4" t="str">
        <f>IF(A40&lt;('2. Inputs and results'!$C$21+1),'2. Inputs and results'!$C$79*(W39)," ")</f>
        <v xml:space="preserve"> </v>
      </c>
      <c r="Y40" s="4">
        <f t="shared" si="2"/>
        <v>0</v>
      </c>
      <c r="Z40" s="4" t="e">
        <f>IF(A40&lt;('2. Inputs and results'!$C$21+1),Z39+((C40-$V$6+Y40)/((1+$P$2)^A40)),NA())</f>
        <v>#N/A</v>
      </c>
      <c r="AA40" s="4" t="str">
        <f>IF(A40&lt;('2. Inputs and results'!$C$21+1),AA39+G40+I40+H40+T40-$V$6," ")</f>
        <v xml:space="preserve"> </v>
      </c>
      <c r="AB40" s="20" t="e">
        <f>IF(A40&lt;('2. Inputs and results'!$C$21+1),AA40/L40,NA())</f>
        <v>#N/A</v>
      </c>
      <c r="AC40" s="29" t="str">
        <f>IF(A40&lt;('2. Inputs and results'!$C$21+1),AC39+C40+Y40-$V$6," ")</f>
        <v xml:space="preserve"> </v>
      </c>
      <c r="AD40" s="20" t="e">
        <f>IF(A40&lt;('2. Inputs and results'!$C$21+1),AC40/L40,NA())</f>
        <v>#N/A</v>
      </c>
      <c r="AE40" t="str">
        <f>IF(A40&lt;('2. Inputs and results'!$C$21+1),-'2. Inputs and results'!$C$121*A40," ")</f>
        <v xml:space="preserve"> </v>
      </c>
      <c r="AF40" t="e">
        <f>IF(A40&lt;('2. Inputs and results'!$C$21+1),AE40/1000,NA())</f>
        <v>#N/A</v>
      </c>
    </row>
    <row r="41" spans="1:32" x14ac:dyDescent="0.25">
      <c r="A41">
        <f t="shared" si="0"/>
        <v>36</v>
      </c>
      <c r="B41" t="str">
        <f>IF(A41&lt;('2. Inputs and results'!$C$21+1),A41," ")</f>
        <v xml:space="preserve"> </v>
      </c>
      <c r="C41" s="4" t="str">
        <f>IF(A41&lt;('2. Inputs and results'!$C$21+1),'2. Inputs and results'!$C$99+'2. Inputs and results'!$C$101," ")</f>
        <v xml:space="preserve"> </v>
      </c>
      <c r="D41" s="4" t="e">
        <f>IF(A41&lt;('2. Inputs and results'!$C$21+1),D40+C41,NA())</f>
        <v>#N/A</v>
      </c>
      <c r="E41" s="4" t="str">
        <f>IF(A41&lt;('2. Inputs and results'!$C$21+1),C41/((1+$P$2)^A41)," ")</f>
        <v xml:space="preserve"> </v>
      </c>
      <c r="F41" s="4" t="str">
        <f>IF(B41&lt;('2. Inputs and results'!$C$21+1),F40+E41," ")</f>
        <v xml:space="preserve"> </v>
      </c>
      <c r="G41" s="4" t="str">
        <f>IF(A41&lt;('2. Inputs and results'!$C$21+1),G40*(1+'2. Inputs and results'!$C$44)," ")</f>
        <v xml:space="preserve"> </v>
      </c>
      <c r="H41" s="4" t="str">
        <f>IF(A41&lt;('2. Inputs and results'!$C$21+1),H40*(1+'2. Inputs and results'!$C$56)," ")</f>
        <v xml:space="preserve"> </v>
      </c>
      <c r="I41" s="4" t="str">
        <f>IF(A41&lt;('2. Inputs and results'!$C$21+1),I40*(1+'2. Inputs and results'!$C$32)," ")</f>
        <v xml:space="preserve"> </v>
      </c>
      <c r="J41" s="4" t="str">
        <f>IF(A41&lt;('2. Inputs and results'!$C$21+1),J40*(1+'2. Inputs and results'!$C$66)," ")</f>
        <v xml:space="preserve"> </v>
      </c>
      <c r="K41" s="4" t="e">
        <f>IF(A41&lt;('2. Inputs and results'!$C$21+1),K40+(G41+I41+H41+J41),NA())</f>
        <v>#N/A</v>
      </c>
      <c r="L41" s="4" t="e">
        <f>IF(A41&lt;('2. Inputs and results'!$C$21+1),L40,NA())</f>
        <v>#N/A</v>
      </c>
      <c r="M41" s="4" t="str">
        <f>IF(A41&lt;('2. Inputs and results'!$C$21+1),'2. Inputs and results'!$C$75*'2. Inputs and results'!$C$73," ")</f>
        <v xml:space="preserve"> </v>
      </c>
      <c r="N41" s="4" t="str">
        <f>IF(A41&lt;('2. Inputs and results'!$C$21+1),M41/((1+$P$2)^A41)," ")</f>
        <v xml:space="preserve"> </v>
      </c>
      <c r="O41" s="4" t="str">
        <f>IF(A41&lt;('2. Inputs and results'!$C$21+1),'2. Inputs and results'!$C$73*'2. Inputs and results'!$C$75+O40," ")</f>
        <v xml:space="preserve"> </v>
      </c>
      <c r="P41" s="4" t="str">
        <f>IF(A41&lt;('2. Inputs and results'!$C$21+1),(G41+I41+H41+J41)/((1+$P$2)^A41)," ")</f>
        <v xml:space="preserve"> </v>
      </c>
      <c r="Q41" s="4" t="str">
        <f>IF(A41&lt;('2. Inputs and results'!$C$21+1),Q40+P41," ")</f>
        <v xml:space="preserve"> </v>
      </c>
      <c r="R41" s="4" t="e">
        <f>IF(A41&lt;('2. Inputs and results'!$C$21+1),R40+G41+I41+H41+J41+T41-$V$6,NA())</f>
        <v>#N/A</v>
      </c>
      <c r="S41" s="4" t="str">
        <f>IF(A41&lt;('2. Inputs and results'!$C$21+1),'2. Inputs and results'!$C$79*(R40)," ")</f>
        <v xml:space="preserve"> </v>
      </c>
      <c r="T41" s="4">
        <f t="shared" si="1"/>
        <v>0</v>
      </c>
      <c r="U41" s="4" t="e">
        <f>IF(A41&lt;('2. Inputs and results'!$C$21+1),U40+((G41+I41+H41+J41-$V$6+T41)/((1+$P$2)^A41)),NA())</f>
        <v>#N/A</v>
      </c>
      <c r="V41" s="4" t="str">
        <f>IF(A41&lt;('2. Inputs and results'!$C$21+1),V40+('2. Inputs and results'!$C$75*'2. Inputs and results'!$C$73)," ")</f>
        <v xml:space="preserve"> </v>
      </c>
      <c r="W41" s="4" t="e">
        <f>IF(A41&lt;('2. Inputs and results'!$C$21+1),W40+C41+Y41-$V$6,NA())</f>
        <v>#N/A</v>
      </c>
      <c r="X41" s="4" t="str">
        <f>IF(A41&lt;('2. Inputs and results'!$C$21+1),'2. Inputs and results'!$C$79*(W40)," ")</f>
        <v xml:space="preserve"> </v>
      </c>
      <c r="Y41" s="4">
        <f t="shared" si="2"/>
        <v>0</v>
      </c>
      <c r="Z41" s="4" t="e">
        <f>IF(A41&lt;('2. Inputs and results'!$C$21+1),Z40+((C41-$V$6+Y41)/((1+$P$2)^A41)),NA())</f>
        <v>#N/A</v>
      </c>
      <c r="AA41" s="4" t="str">
        <f>IF(A41&lt;('2. Inputs and results'!$C$21+1),AA40+G41+I41+H41+T41-$V$6," ")</f>
        <v xml:space="preserve"> </v>
      </c>
      <c r="AB41" s="20" t="e">
        <f>IF(A41&lt;('2. Inputs and results'!$C$21+1),AA41/L41,NA())</f>
        <v>#N/A</v>
      </c>
      <c r="AC41" s="29" t="str">
        <f>IF(A41&lt;('2. Inputs and results'!$C$21+1),AC40+C41+Y41-$V$6," ")</f>
        <v xml:space="preserve"> </v>
      </c>
      <c r="AD41" s="20" t="e">
        <f>IF(A41&lt;('2. Inputs and results'!$C$21+1),AC41/L41,NA())</f>
        <v>#N/A</v>
      </c>
      <c r="AE41" t="str">
        <f>IF(A41&lt;('2. Inputs and results'!$C$21+1),-'2. Inputs and results'!$C$121*A41," ")</f>
        <v xml:space="preserve"> </v>
      </c>
      <c r="AF41" t="e">
        <f>IF(A41&lt;('2. Inputs and results'!$C$21+1),AE41/1000,NA())</f>
        <v>#N/A</v>
      </c>
    </row>
    <row r="42" spans="1:32" x14ac:dyDescent="0.25">
      <c r="A42">
        <f t="shared" si="0"/>
        <v>37</v>
      </c>
      <c r="B42" t="str">
        <f>IF(A42&lt;('2. Inputs and results'!$C$21+1),A42," ")</f>
        <v xml:space="preserve"> </v>
      </c>
      <c r="C42" s="4" t="str">
        <f>IF(A42&lt;('2. Inputs and results'!$C$21+1),'2. Inputs and results'!$C$99+'2. Inputs and results'!$C$101," ")</f>
        <v xml:space="preserve"> </v>
      </c>
      <c r="D42" s="4" t="e">
        <f>IF(A42&lt;('2. Inputs and results'!$C$21+1),D41+C42,NA())</f>
        <v>#N/A</v>
      </c>
      <c r="E42" s="4" t="str">
        <f>IF(A42&lt;('2. Inputs and results'!$C$21+1),C42/((1+$P$2)^A42)," ")</f>
        <v xml:space="preserve"> </v>
      </c>
      <c r="F42" s="4" t="str">
        <f>IF(B42&lt;('2. Inputs and results'!$C$21+1),F41+E42," ")</f>
        <v xml:space="preserve"> </v>
      </c>
      <c r="G42" s="4" t="str">
        <f>IF(A42&lt;('2. Inputs and results'!$C$21+1),G41*(1+'2. Inputs and results'!$C$44)," ")</f>
        <v xml:space="preserve"> </v>
      </c>
      <c r="H42" s="4" t="str">
        <f>IF(A42&lt;('2. Inputs and results'!$C$21+1),H41*(1+'2. Inputs and results'!$C$56)," ")</f>
        <v xml:space="preserve"> </v>
      </c>
      <c r="I42" s="4" t="str">
        <f>IF(A42&lt;('2. Inputs and results'!$C$21+1),I41*(1+'2. Inputs and results'!$C$32)," ")</f>
        <v xml:space="preserve"> </v>
      </c>
      <c r="J42" s="4" t="str">
        <f>IF(A42&lt;('2. Inputs and results'!$C$21+1),J41*(1+'2. Inputs and results'!$C$66)," ")</f>
        <v xml:space="preserve"> </v>
      </c>
      <c r="K42" s="4" t="e">
        <f>IF(A42&lt;('2. Inputs and results'!$C$21+1),K41+(G42+I42+H42+J42),NA())</f>
        <v>#N/A</v>
      </c>
      <c r="L42" s="4" t="e">
        <f>IF(A42&lt;('2. Inputs and results'!$C$21+1),L41,NA())</f>
        <v>#N/A</v>
      </c>
      <c r="M42" s="4" t="str">
        <f>IF(A42&lt;('2. Inputs and results'!$C$21+1),'2. Inputs and results'!$C$75*'2. Inputs and results'!$C$73," ")</f>
        <v xml:space="preserve"> </v>
      </c>
      <c r="N42" s="4" t="str">
        <f>IF(A42&lt;('2. Inputs and results'!$C$21+1),M42/((1+$P$2)^A42)," ")</f>
        <v xml:space="preserve"> </v>
      </c>
      <c r="O42" s="4" t="str">
        <f>IF(A42&lt;('2. Inputs and results'!$C$21+1),'2. Inputs and results'!$C$73*'2. Inputs and results'!$C$75+O41," ")</f>
        <v xml:space="preserve"> </v>
      </c>
      <c r="P42" s="4" t="str">
        <f>IF(A42&lt;('2. Inputs and results'!$C$21+1),(G42+I42+H42+J42)/((1+$P$2)^A42)," ")</f>
        <v xml:space="preserve"> </v>
      </c>
      <c r="Q42" s="4" t="str">
        <f>IF(A42&lt;('2. Inputs and results'!$C$21+1),Q41+P42," ")</f>
        <v xml:space="preserve"> </v>
      </c>
      <c r="R42" s="4" t="e">
        <f>IF(A42&lt;('2. Inputs and results'!$C$21+1),R41+G42+I42+H42+J42+T42-$V$6,NA())</f>
        <v>#N/A</v>
      </c>
      <c r="S42" s="4" t="str">
        <f>IF(A42&lt;('2. Inputs and results'!$C$21+1),'2. Inputs and results'!$C$79*(R41)," ")</f>
        <v xml:space="preserve"> </v>
      </c>
      <c r="T42" s="4">
        <f t="shared" si="1"/>
        <v>0</v>
      </c>
      <c r="U42" s="4" t="e">
        <f>IF(A42&lt;('2. Inputs and results'!$C$21+1),U41+((G42+I42+H42+J42-$V$6+T42)/((1+$P$2)^A42)),NA())</f>
        <v>#N/A</v>
      </c>
      <c r="V42" s="4" t="str">
        <f>IF(A42&lt;('2. Inputs and results'!$C$21+1),V41+('2. Inputs and results'!$C$75*'2. Inputs and results'!$C$73)," ")</f>
        <v xml:space="preserve"> </v>
      </c>
      <c r="W42" s="4" t="e">
        <f>IF(A42&lt;('2. Inputs and results'!$C$21+1),W41+C42+Y42-$V$6,NA())</f>
        <v>#N/A</v>
      </c>
      <c r="X42" s="4" t="str">
        <f>IF(A42&lt;('2. Inputs and results'!$C$21+1),'2. Inputs and results'!$C$79*(W41)," ")</f>
        <v xml:space="preserve"> </v>
      </c>
      <c r="Y42" s="4">
        <f t="shared" si="2"/>
        <v>0</v>
      </c>
      <c r="Z42" s="4" t="e">
        <f>IF(A42&lt;('2. Inputs and results'!$C$21+1),Z41+((C42-$V$6+Y42)/((1+$P$2)^A42)),NA())</f>
        <v>#N/A</v>
      </c>
      <c r="AA42" s="4" t="str">
        <f>IF(A42&lt;('2. Inputs and results'!$C$21+1),AA41+G42+I42+H42+T42-$V$6," ")</f>
        <v xml:space="preserve"> </v>
      </c>
      <c r="AB42" s="20" t="e">
        <f>IF(A42&lt;('2. Inputs and results'!$C$21+1),AA42/L42,NA())</f>
        <v>#N/A</v>
      </c>
      <c r="AC42" s="29" t="str">
        <f>IF(A42&lt;('2. Inputs and results'!$C$21+1),AC41+C42+Y42-$V$6," ")</f>
        <v xml:space="preserve"> </v>
      </c>
      <c r="AD42" s="20" t="e">
        <f>IF(A42&lt;('2. Inputs and results'!$C$21+1),AC42/L42,NA())</f>
        <v>#N/A</v>
      </c>
      <c r="AE42" t="str">
        <f>IF(A42&lt;('2. Inputs and results'!$C$21+1),-'2. Inputs and results'!$C$121*A42," ")</f>
        <v xml:space="preserve"> </v>
      </c>
      <c r="AF42" t="e">
        <f>IF(A42&lt;('2. Inputs and results'!$C$21+1),AE42/1000,NA())</f>
        <v>#N/A</v>
      </c>
    </row>
    <row r="43" spans="1:32" x14ac:dyDescent="0.25">
      <c r="A43">
        <f t="shared" si="0"/>
        <v>38</v>
      </c>
      <c r="B43" t="str">
        <f>IF(A43&lt;('2. Inputs and results'!$C$21+1),A43," ")</f>
        <v xml:space="preserve"> </v>
      </c>
      <c r="C43" s="4" t="str">
        <f>IF(A43&lt;('2. Inputs and results'!$C$21+1),'2. Inputs and results'!$C$99+'2. Inputs and results'!$C$101," ")</f>
        <v xml:space="preserve"> </v>
      </c>
      <c r="D43" s="4" t="e">
        <f>IF(A43&lt;('2. Inputs and results'!$C$21+1),D42+C43,NA())</f>
        <v>#N/A</v>
      </c>
      <c r="E43" s="4" t="str">
        <f>IF(A43&lt;('2. Inputs and results'!$C$21+1),C43/((1+$P$2)^A43)," ")</f>
        <v xml:space="preserve"> </v>
      </c>
      <c r="F43" s="4" t="str">
        <f>IF(B43&lt;('2. Inputs and results'!$C$21+1),F42+E43," ")</f>
        <v xml:space="preserve"> </v>
      </c>
      <c r="G43" s="4" t="str">
        <f>IF(A43&lt;('2. Inputs and results'!$C$21+1),G42*(1+'2. Inputs and results'!$C$44)," ")</f>
        <v xml:space="preserve"> </v>
      </c>
      <c r="H43" s="4" t="str">
        <f>IF(A43&lt;('2. Inputs and results'!$C$21+1),H42*(1+'2. Inputs and results'!$C$56)," ")</f>
        <v xml:space="preserve"> </v>
      </c>
      <c r="I43" s="4" t="str">
        <f>IF(A43&lt;('2. Inputs and results'!$C$21+1),I42*(1+'2. Inputs and results'!$C$32)," ")</f>
        <v xml:space="preserve"> </v>
      </c>
      <c r="J43" s="4" t="str">
        <f>IF(A43&lt;('2. Inputs and results'!$C$21+1),J42*(1+'2. Inputs and results'!$C$66)," ")</f>
        <v xml:space="preserve"> </v>
      </c>
      <c r="K43" s="4" t="e">
        <f>IF(A43&lt;('2. Inputs and results'!$C$21+1),K42+(G43+I43+H43+J43),NA())</f>
        <v>#N/A</v>
      </c>
      <c r="L43" s="4" t="e">
        <f>IF(A43&lt;('2. Inputs and results'!$C$21+1),L42,NA())</f>
        <v>#N/A</v>
      </c>
      <c r="M43" s="4" t="str">
        <f>IF(A43&lt;('2. Inputs and results'!$C$21+1),'2. Inputs and results'!$C$75*'2. Inputs and results'!$C$73," ")</f>
        <v xml:space="preserve"> </v>
      </c>
      <c r="N43" s="4" t="str">
        <f>IF(A43&lt;('2. Inputs and results'!$C$21+1),M43/((1+$P$2)^A43)," ")</f>
        <v xml:space="preserve"> </v>
      </c>
      <c r="O43" s="4" t="str">
        <f>IF(A43&lt;('2. Inputs and results'!$C$21+1),'2. Inputs and results'!$C$73*'2. Inputs and results'!$C$75+O42," ")</f>
        <v xml:space="preserve"> </v>
      </c>
      <c r="P43" s="4" t="str">
        <f>IF(A43&lt;('2. Inputs and results'!$C$21+1),(G43+I43+H43+J43)/((1+$P$2)^A43)," ")</f>
        <v xml:space="preserve"> </v>
      </c>
      <c r="Q43" s="4" t="str">
        <f>IF(A43&lt;('2. Inputs and results'!$C$21+1),Q42+P43," ")</f>
        <v xml:space="preserve"> </v>
      </c>
      <c r="R43" s="4" t="e">
        <f>IF(A43&lt;('2. Inputs and results'!$C$21+1),R42+G43+I43+H43+J43+T43-$V$6,NA())</f>
        <v>#N/A</v>
      </c>
      <c r="S43" s="4" t="str">
        <f>IF(A43&lt;('2. Inputs and results'!$C$21+1),'2. Inputs and results'!$C$79*(R42)," ")</f>
        <v xml:space="preserve"> </v>
      </c>
      <c r="T43" s="4">
        <f t="shared" si="1"/>
        <v>0</v>
      </c>
      <c r="U43" s="4" t="e">
        <f>IF(A43&lt;('2. Inputs and results'!$C$21+1),U42+((G43+I43+H43+J43-$V$6+T43)/((1+$P$2)^A43)),NA())</f>
        <v>#N/A</v>
      </c>
      <c r="V43" s="4" t="str">
        <f>IF(A43&lt;('2. Inputs and results'!$C$21+1),V42+('2. Inputs and results'!$C$75*'2. Inputs and results'!$C$73)," ")</f>
        <v xml:space="preserve"> </v>
      </c>
      <c r="W43" s="4" t="e">
        <f>IF(A43&lt;('2. Inputs and results'!$C$21+1),W42+C43+Y43-$V$6,NA())</f>
        <v>#N/A</v>
      </c>
      <c r="X43" s="4" t="str">
        <f>IF(A43&lt;('2. Inputs and results'!$C$21+1),'2. Inputs and results'!$C$79*(W42)," ")</f>
        <v xml:space="preserve"> </v>
      </c>
      <c r="Y43" s="4">
        <f t="shared" si="2"/>
        <v>0</v>
      </c>
      <c r="Z43" s="4" t="e">
        <f>IF(A43&lt;('2. Inputs and results'!$C$21+1),Z42+((C43-$V$6+Y43)/((1+$P$2)^A43)),NA())</f>
        <v>#N/A</v>
      </c>
      <c r="AA43" s="4" t="str">
        <f>IF(A43&lt;('2. Inputs and results'!$C$21+1),AA42+G43+I43+H43+T43-$V$6," ")</f>
        <v xml:space="preserve"> </v>
      </c>
      <c r="AB43" s="20" t="e">
        <f>IF(A43&lt;('2. Inputs and results'!$C$21+1),AA43/L43,NA())</f>
        <v>#N/A</v>
      </c>
      <c r="AC43" s="29" t="str">
        <f>IF(A43&lt;('2. Inputs and results'!$C$21+1),AC42+C43+Y43-$V$6," ")</f>
        <v xml:space="preserve"> </v>
      </c>
      <c r="AD43" s="20" t="e">
        <f>IF(A43&lt;('2. Inputs and results'!$C$21+1),AC43/L43,NA())</f>
        <v>#N/A</v>
      </c>
      <c r="AE43" t="str">
        <f>IF(A43&lt;('2. Inputs and results'!$C$21+1),-'2. Inputs and results'!$C$121*A43," ")</f>
        <v xml:space="preserve"> </v>
      </c>
      <c r="AF43" t="e">
        <f>IF(A43&lt;('2. Inputs and results'!$C$21+1),AE43/1000,NA())</f>
        <v>#N/A</v>
      </c>
    </row>
    <row r="44" spans="1:32" x14ac:dyDescent="0.25">
      <c r="A44">
        <f t="shared" si="0"/>
        <v>39</v>
      </c>
      <c r="B44" t="str">
        <f>IF(A44&lt;('2. Inputs and results'!$C$21+1),A44," ")</f>
        <v xml:space="preserve"> </v>
      </c>
      <c r="C44" s="4" t="str">
        <f>IF(A44&lt;('2. Inputs and results'!$C$21+1),'2. Inputs and results'!$C$99+'2. Inputs and results'!$C$101," ")</f>
        <v xml:space="preserve"> </v>
      </c>
      <c r="D44" s="4" t="e">
        <f>IF(A44&lt;('2. Inputs and results'!$C$21+1),D43+C44,NA())</f>
        <v>#N/A</v>
      </c>
      <c r="E44" s="4" t="str">
        <f>IF(A44&lt;('2. Inputs and results'!$C$21+1),C44/((1+$P$2)^A44)," ")</f>
        <v xml:space="preserve"> </v>
      </c>
      <c r="F44" s="4" t="str">
        <f>IF(B44&lt;('2. Inputs and results'!$C$21+1),F43+E44," ")</f>
        <v xml:space="preserve"> </v>
      </c>
      <c r="G44" s="4" t="str">
        <f>IF(A44&lt;('2. Inputs and results'!$C$21+1),G43*(1+'2. Inputs and results'!$C$44)," ")</f>
        <v xml:space="preserve"> </v>
      </c>
      <c r="H44" s="4" t="str">
        <f>IF(A44&lt;('2. Inputs and results'!$C$21+1),H43*(1+'2. Inputs and results'!$C$56)," ")</f>
        <v xml:space="preserve"> </v>
      </c>
      <c r="I44" s="4" t="str">
        <f>IF(A44&lt;('2. Inputs and results'!$C$21+1),I43*(1+'2. Inputs and results'!$C$32)," ")</f>
        <v xml:space="preserve"> </v>
      </c>
      <c r="J44" s="4" t="str">
        <f>IF(A44&lt;('2. Inputs and results'!$C$21+1),J43*(1+'2. Inputs and results'!$C$66)," ")</f>
        <v xml:space="preserve"> </v>
      </c>
      <c r="K44" s="4" t="e">
        <f>IF(A44&lt;('2. Inputs and results'!$C$21+1),K43+(G44+I44+H44+J44),NA())</f>
        <v>#N/A</v>
      </c>
      <c r="L44" s="4" t="e">
        <f>IF(A44&lt;('2. Inputs and results'!$C$21+1),L43,NA())</f>
        <v>#N/A</v>
      </c>
      <c r="M44" s="4" t="str">
        <f>IF(A44&lt;('2. Inputs and results'!$C$21+1),'2. Inputs and results'!$C$75*'2. Inputs and results'!$C$73," ")</f>
        <v xml:space="preserve"> </v>
      </c>
      <c r="N44" s="4" t="str">
        <f>IF(A44&lt;('2. Inputs and results'!$C$21+1),M44/((1+$P$2)^A44)," ")</f>
        <v xml:space="preserve"> </v>
      </c>
      <c r="O44" s="4" t="str">
        <f>IF(A44&lt;('2. Inputs and results'!$C$21+1),'2. Inputs and results'!$C$73*'2. Inputs and results'!$C$75+O43," ")</f>
        <v xml:space="preserve"> </v>
      </c>
      <c r="P44" s="4" t="str">
        <f>IF(A44&lt;('2. Inputs and results'!$C$21+1),(G44+I44+H44+J44)/((1+$P$2)^A44)," ")</f>
        <v xml:space="preserve"> </v>
      </c>
      <c r="Q44" s="4" t="str">
        <f>IF(A44&lt;('2. Inputs and results'!$C$21+1),Q43+P44," ")</f>
        <v xml:space="preserve"> </v>
      </c>
      <c r="R44" s="4" t="e">
        <f>IF(A44&lt;('2. Inputs and results'!$C$21+1),R43+G44+I44+H44+J44+T44-$V$6,NA())</f>
        <v>#N/A</v>
      </c>
      <c r="S44" s="4" t="str">
        <f>IF(A44&lt;('2. Inputs and results'!$C$21+1),'2. Inputs and results'!$C$79*(R43)," ")</f>
        <v xml:space="preserve"> </v>
      </c>
      <c r="T44" s="4">
        <f t="shared" si="1"/>
        <v>0</v>
      </c>
      <c r="U44" s="4" t="e">
        <f>IF(A44&lt;('2. Inputs and results'!$C$21+1),U43+((G44+I44+H44+J44-$V$6+T44)/((1+$P$2)^A44)),NA())</f>
        <v>#N/A</v>
      </c>
      <c r="V44" s="4" t="str">
        <f>IF(A44&lt;('2. Inputs and results'!$C$21+1),V43+('2. Inputs and results'!$C$75*'2. Inputs and results'!$C$73)," ")</f>
        <v xml:space="preserve"> </v>
      </c>
      <c r="W44" s="4" t="e">
        <f>IF(A44&lt;('2. Inputs and results'!$C$21+1),W43+C44+Y44-$V$6,NA())</f>
        <v>#N/A</v>
      </c>
      <c r="X44" s="4" t="str">
        <f>IF(A44&lt;('2. Inputs and results'!$C$21+1),'2. Inputs and results'!$C$79*(W43)," ")</f>
        <v xml:space="preserve"> </v>
      </c>
      <c r="Y44" s="4">
        <f t="shared" si="2"/>
        <v>0</v>
      </c>
      <c r="Z44" s="4" t="e">
        <f>IF(A44&lt;('2. Inputs and results'!$C$21+1),Z43+((C44-$V$6+Y44)/((1+$P$2)^A44)),NA())</f>
        <v>#N/A</v>
      </c>
      <c r="AA44" s="4" t="str">
        <f>IF(A44&lt;('2. Inputs and results'!$C$21+1),AA43+G44+I44+H44+T44-$V$6," ")</f>
        <v xml:space="preserve"> </v>
      </c>
      <c r="AB44" s="20" t="e">
        <f>IF(A44&lt;('2. Inputs and results'!$C$21+1),AA44/L44,NA())</f>
        <v>#N/A</v>
      </c>
      <c r="AC44" s="29" t="str">
        <f>IF(A44&lt;('2. Inputs and results'!$C$21+1),AC43+C44+Y44-$V$6," ")</f>
        <v xml:space="preserve"> </v>
      </c>
      <c r="AD44" s="20" t="e">
        <f>IF(A44&lt;('2. Inputs and results'!$C$21+1),AC44/L44,NA())</f>
        <v>#N/A</v>
      </c>
      <c r="AE44" t="str">
        <f>IF(A44&lt;('2. Inputs and results'!$C$21+1),-'2. Inputs and results'!$C$121*A44," ")</f>
        <v xml:space="preserve"> </v>
      </c>
      <c r="AF44" t="e">
        <f>IF(A44&lt;('2. Inputs and results'!$C$21+1),AE44/1000,NA())</f>
        <v>#N/A</v>
      </c>
    </row>
    <row r="45" spans="1:32" x14ac:dyDescent="0.25">
      <c r="A45">
        <f t="shared" si="0"/>
        <v>40</v>
      </c>
      <c r="B45" t="str">
        <f>IF(A45&lt;('2. Inputs and results'!$C$21+1),A45," ")</f>
        <v xml:space="preserve"> </v>
      </c>
      <c r="C45" s="4" t="str">
        <f>IF(A45&lt;('2. Inputs and results'!$C$21+1),'2. Inputs and results'!$C$99+'2. Inputs and results'!$C$101," ")</f>
        <v xml:space="preserve"> </v>
      </c>
      <c r="D45" s="4" t="e">
        <f>IF(A45&lt;('2. Inputs and results'!$C$21+1),D44+C45,NA())</f>
        <v>#N/A</v>
      </c>
      <c r="E45" s="4" t="str">
        <f>IF(A45&lt;('2. Inputs and results'!$C$21+1),C45/((1+$P$2)^A45)," ")</f>
        <v xml:space="preserve"> </v>
      </c>
      <c r="F45" s="4" t="str">
        <f>IF(B45&lt;('2. Inputs and results'!$C$21+1),F44+E45," ")</f>
        <v xml:space="preserve"> </v>
      </c>
      <c r="G45" s="4" t="str">
        <f>IF(A45&lt;('2. Inputs and results'!$C$21+1),G44*(1+'2. Inputs and results'!$C$44)," ")</f>
        <v xml:space="preserve"> </v>
      </c>
      <c r="H45" s="4" t="str">
        <f>IF(A45&lt;('2. Inputs and results'!$C$21+1),H44*(1+'2. Inputs and results'!$C$56)," ")</f>
        <v xml:space="preserve"> </v>
      </c>
      <c r="I45" s="4" t="str">
        <f>IF(A45&lt;('2. Inputs and results'!$C$21+1),I44*(1+'2. Inputs and results'!$C$32)," ")</f>
        <v xml:space="preserve"> </v>
      </c>
      <c r="J45" s="4" t="str">
        <f>IF(A45&lt;('2. Inputs and results'!$C$21+1),J44*(1+'2. Inputs and results'!$C$66)," ")</f>
        <v xml:space="preserve"> </v>
      </c>
      <c r="K45" s="4" t="e">
        <f>IF(A45&lt;('2. Inputs and results'!$C$21+1),K44+(G45+I45+H45+J45),NA())</f>
        <v>#N/A</v>
      </c>
      <c r="L45" s="4" t="e">
        <f>IF(A45&lt;('2. Inputs and results'!$C$21+1),L44,NA())</f>
        <v>#N/A</v>
      </c>
      <c r="M45" s="4" t="str">
        <f>IF(A45&lt;('2. Inputs and results'!$C$21+1),'2. Inputs and results'!$C$75*'2. Inputs and results'!$C$73," ")</f>
        <v xml:space="preserve"> </v>
      </c>
      <c r="N45" s="4" t="str">
        <f>IF(A45&lt;('2. Inputs and results'!$C$21+1),M45/((1+$P$2)^A45)," ")</f>
        <v xml:space="preserve"> </v>
      </c>
      <c r="O45" s="4" t="str">
        <f>IF(A45&lt;('2. Inputs and results'!$C$21+1),'2. Inputs and results'!$C$73*'2. Inputs and results'!$C$75+O44," ")</f>
        <v xml:space="preserve"> </v>
      </c>
      <c r="P45" s="4" t="str">
        <f>IF(A45&lt;('2. Inputs and results'!$C$21+1),(G45+I45+H45+J45)/((1+$P$2)^A45)," ")</f>
        <v xml:space="preserve"> </v>
      </c>
      <c r="Q45" s="4" t="str">
        <f>IF(A45&lt;('2. Inputs and results'!$C$21+1),Q44+P45," ")</f>
        <v xml:space="preserve"> </v>
      </c>
      <c r="R45" s="4" t="e">
        <f>IF(A45&lt;('2. Inputs and results'!$C$21+1),R44+G45+I45+H45+J45+T45-$V$6,NA())</f>
        <v>#N/A</v>
      </c>
      <c r="S45" s="4" t="str">
        <f>IF(A45&lt;('2. Inputs and results'!$C$21+1),'2. Inputs and results'!$C$79*(R44)," ")</f>
        <v xml:space="preserve"> </v>
      </c>
      <c r="T45" s="4">
        <f t="shared" si="1"/>
        <v>0</v>
      </c>
      <c r="U45" s="4" t="e">
        <f>IF(A45&lt;('2. Inputs and results'!$C$21+1),U44+((G45+I45+H45+J45-$V$6+T45)/((1+$P$2)^A45)),NA())</f>
        <v>#N/A</v>
      </c>
      <c r="V45" s="4" t="str">
        <f>IF(A45&lt;('2. Inputs and results'!$C$21+1),V44+('2. Inputs and results'!$C$75*'2. Inputs and results'!$C$73)," ")</f>
        <v xml:space="preserve"> </v>
      </c>
      <c r="W45" s="4" t="e">
        <f>IF(A45&lt;('2. Inputs and results'!$C$21+1),W44+C45+Y45-$V$6,NA())</f>
        <v>#N/A</v>
      </c>
      <c r="X45" s="4" t="str">
        <f>IF(A45&lt;('2. Inputs and results'!$C$21+1),'2. Inputs and results'!$C$79*(W44)," ")</f>
        <v xml:space="preserve"> </v>
      </c>
      <c r="Y45" s="4">
        <f t="shared" si="2"/>
        <v>0</v>
      </c>
      <c r="Z45" s="4" t="e">
        <f>IF(A45&lt;('2. Inputs and results'!$C$21+1),Z44+((C45-$V$6+Y45)/((1+$P$2)^A45)),NA())</f>
        <v>#N/A</v>
      </c>
      <c r="AA45" s="4" t="str">
        <f>IF(A45&lt;('2. Inputs and results'!$C$21+1),AA44+G45+I45+H45+T45-$V$6," ")</f>
        <v xml:space="preserve"> </v>
      </c>
      <c r="AB45" s="20" t="e">
        <f>IF(A45&lt;('2. Inputs and results'!$C$21+1),AA45/L45,NA())</f>
        <v>#N/A</v>
      </c>
      <c r="AC45" s="29" t="str">
        <f>IF(A45&lt;('2. Inputs and results'!$C$21+1),AC44+C45+Y45-$V$6," ")</f>
        <v xml:space="preserve"> </v>
      </c>
      <c r="AD45" s="20" t="e">
        <f>IF(A45&lt;('2. Inputs and results'!$C$21+1),AC45/L45,NA())</f>
        <v>#N/A</v>
      </c>
      <c r="AE45" t="str">
        <f>IF(A45&lt;('2. Inputs and results'!$C$21+1),-'2. Inputs and results'!$C$121*A45," ")</f>
        <v xml:space="preserve"> </v>
      </c>
      <c r="AF45" t="e">
        <f>IF(A45&lt;('2. Inputs and results'!$C$21+1),AE45/1000,NA())</f>
        <v>#N/A</v>
      </c>
    </row>
    <row r="46" spans="1:32" x14ac:dyDescent="0.25">
      <c r="A46">
        <f t="shared" si="0"/>
        <v>41</v>
      </c>
      <c r="B46" t="str">
        <f>IF(A46&lt;('2. Inputs and results'!$C$21+1),A46," ")</f>
        <v xml:space="preserve"> </v>
      </c>
      <c r="C46" s="4" t="str">
        <f>IF(A46&lt;('2. Inputs and results'!$C$21+1),'2. Inputs and results'!$C$99+'2. Inputs and results'!$C$101," ")</f>
        <v xml:space="preserve"> </v>
      </c>
      <c r="D46" s="4" t="e">
        <f>IF(A46&lt;('2. Inputs and results'!$C$21+1),D45+C46,NA())</f>
        <v>#N/A</v>
      </c>
      <c r="E46" s="4" t="str">
        <f>IF(A46&lt;('2. Inputs and results'!$C$21+1),C46/((1+$P$2)^A46)," ")</f>
        <v xml:space="preserve"> </v>
      </c>
      <c r="F46" s="4" t="str">
        <f>IF(B46&lt;('2. Inputs and results'!$C$21+1),F45+E46," ")</f>
        <v xml:space="preserve"> </v>
      </c>
      <c r="G46" s="4" t="str">
        <f>IF(A46&lt;('2. Inputs and results'!$C$21+1),G45*(1+'2. Inputs and results'!$C$44)," ")</f>
        <v xml:space="preserve"> </v>
      </c>
      <c r="H46" s="4" t="str">
        <f>IF(A46&lt;('2. Inputs and results'!$C$21+1),H45*(1+'2. Inputs and results'!$C$56)," ")</f>
        <v xml:space="preserve"> </v>
      </c>
      <c r="I46" s="4" t="str">
        <f>IF(A46&lt;('2. Inputs and results'!$C$21+1),I45*(1+'2. Inputs and results'!$C$32)," ")</f>
        <v xml:space="preserve"> </v>
      </c>
      <c r="J46" s="4" t="str">
        <f>IF(A46&lt;('2. Inputs and results'!$C$21+1),J45*(1+'2. Inputs and results'!$C$66)," ")</f>
        <v xml:space="preserve"> </v>
      </c>
      <c r="K46" s="4" t="e">
        <f>IF(A46&lt;('2. Inputs and results'!$C$21+1),K45+(G46+I46+H46+J46),NA())</f>
        <v>#N/A</v>
      </c>
      <c r="L46" s="4" t="e">
        <f>IF(A46&lt;('2. Inputs and results'!$C$21+1),L45,NA())</f>
        <v>#N/A</v>
      </c>
      <c r="M46" s="4" t="str">
        <f>IF(A46&lt;('2. Inputs and results'!$C$21+1),'2. Inputs and results'!$C$75*'2. Inputs and results'!$C$73," ")</f>
        <v xml:space="preserve"> </v>
      </c>
      <c r="N46" s="4" t="str">
        <f>IF(A46&lt;('2. Inputs and results'!$C$21+1),M46/((1+$P$2)^A46)," ")</f>
        <v xml:space="preserve"> </v>
      </c>
      <c r="O46" s="4" t="str">
        <f>IF(A46&lt;('2. Inputs and results'!$C$21+1),'2. Inputs and results'!$C$73*'2. Inputs and results'!$C$75+O45," ")</f>
        <v xml:space="preserve"> </v>
      </c>
      <c r="P46" s="4" t="str">
        <f>IF(A46&lt;('2. Inputs and results'!$C$21+1),(G46+I46+H46+J46)/((1+$P$2)^A46)," ")</f>
        <v xml:space="preserve"> </v>
      </c>
      <c r="Q46" s="4" t="str">
        <f>IF(A46&lt;('2. Inputs and results'!$C$21+1),Q45+P46," ")</f>
        <v xml:space="preserve"> </v>
      </c>
      <c r="R46" s="4" t="e">
        <f>IF(A46&lt;('2. Inputs and results'!$C$21+1),R45+G46+I46+H46+J46+T46-$V$6,NA())</f>
        <v>#N/A</v>
      </c>
      <c r="S46" s="4" t="str">
        <f>IF(A46&lt;('2. Inputs and results'!$C$21+1),'2. Inputs and results'!$C$79*(R45)," ")</f>
        <v xml:space="preserve"> </v>
      </c>
      <c r="T46" s="4">
        <f t="shared" si="1"/>
        <v>0</v>
      </c>
      <c r="U46" s="4" t="e">
        <f>IF(A46&lt;('2. Inputs and results'!$C$21+1),U45+((G46+I46+H46+J46-$V$6+T46)/((1+$P$2)^A46)),NA())</f>
        <v>#N/A</v>
      </c>
      <c r="V46" s="4" t="str">
        <f>IF(A46&lt;('2. Inputs and results'!$C$21+1),V45+('2. Inputs and results'!$C$75*'2. Inputs and results'!$C$73)," ")</f>
        <v xml:space="preserve"> </v>
      </c>
      <c r="W46" s="4" t="e">
        <f>IF(A46&lt;('2. Inputs and results'!$C$21+1),W45+C46+Y46-$V$6,NA())</f>
        <v>#N/A</v>
      </c>
      <c r="X46" s="4" t="str">
        <f>IF(A46&lt;('2. Inputs and results'!$C$21+1),'2. Inputs and results'!$C$79*(W45)," ")</f>
        <v xml:space="preserve"> </v>
      </c>
      <c r="Y46" s="4">
        <f t="shared" si="2"/>
        <v>0</v>
      </c>
      <c r="Z46" s="4" t="e">
        <f>IF(A46&lt;('2. Inputs and results'!$C$21+1),Z45+((C46-$V$6+Y46)/((1+$P$2)^A46)),NA())</f>
        <v>#N/A</v>
      </c>
      <c r="AA46" s="4" t="str">
        <f>IF(A46&lt;('2. Inputs and results'!$C$21+1),AA45+G46+I46+H46+T46-$V$6," ")</f>
        <v xml:space="preserve"> </v>
      </c>
      <c r="AB46" s="20" t="e">
        <f>IF(A46&lt;('2. Inputs and results'!$C$21+1),AA46/L46,NA())</f>
        <v>#N/A</v>
      </c>
      <c r="AC46" s="29" t="str">
        <f>IF(A46&lt;('2. Inputs and results'!$C$21+1),AC45+C46+Y46-$V$6," ")</f>
        <v xml:space="preserve"> </v>
      </c>
      <c r="AD46" s="20" t="e">
        <f>IF(A46&lt;('2. Inputs and results'!$C$21+1),AC46/L46,NA())</f>
        <v>#N/A</v>
      </c>
      <c r="AE46" t="str">
        <f>IF(A46&lt;('2. Inputs and results'!$C$21+1),-'2. Inputs and results'!$C$121*A46," ")</f>
        <v xml:space="preserve"> </v>
      </c>
      <c r="AF46" t="e">
        <f>IF(A46&lt;('2. Inputs and results'!$C$21+1),AE46/1000,NA())</f>
        <v>#N/A</v>
      </c>
    </row>
    <row r="47" spans="1:32" x14ac:dyDescent="0.25">
      <c r="A47">
        <f t="shared" si="0"/>
        <v>42</v>
      </c>
      <c r="B47" t="str">
        <f>IF(A47&lt;('2. Inputs and results'!$C$21+1),A47," ")</f>
        <v xml:space="preserve"> </v>
      </c>
      <c r="C47" s="4" t="str">
        <f>IF(A47&lt;('2. Inputs and results'!$C$21+1),'2. Inputs and results'!$C$99+'2. Inputs and results'!$C$101," ")</f>
        <v xml:space="preserve"> </v>
      </c>
      <c r="D47" s="4" t="e">
        <f>IF(A47&lt;('2. Inputs and results'!$C$21+1),D46+C47,NA())</f>
        <v>#N/A</v>
      </c>
      <c r="E47" s="4" t="str">
        <f>IF(A47&lt;('2. Inputs and results'!$C$21+1),C47/((1+$P$2)^A47)," ")</f>
        <v xml:space="preserve"> </v>
      </c>
      <c r="F47" s="4" t="str">
        <f>IF(B47&lt;('2. Inputs and results'!$C$21+1),F46+E47," ")</f>
        <v xml:space="preserve"> </v>
      </c>
      <c r="G47" s="4" t="str">
        <f>IF(A47&lt;('2. Inputs and results'!$C$21+1),G46*(1+'2. Inputs and results'!$C$44)," ")</f>
        <v xml:space="preserve"> </v>
      </c>
      <c r="H47" s="4" t="str">
        <f>IF(A47&lt;('2. Inputs and results'!$C$21+1),H46*(1+'2. Inputs and results'!$C$56)," ")</f>
        <v xml:space="preserve"> </v>
      </c>
      <c r="I47" s="4" t="str">
        <f>IF(A47&lt;('2. Inputs and results'!$C$21+1),I46*(1+'2. Inputs and results'!$C$32)," ")</f>
        <v xml:space="preserve"> </v>
      </c>
      <c r="J47" s="4" t="str">
        <f>IF(A47&lt;('2. Inputs and results'!$C$21+1),J46*(1+'2. Inputs and results'!$C$66)," ")</f>
        <v xml:space="preserve"> </v>
      </c>
      <c r="K47" s="4" t="e">
        <f>IF(A47&lt;('2. Inputs and results'!$C$21+1),K46+(G47+I47+H47+J47),NA())</f>
        <v>#N/A</v>
      </c>
      <c r="L47" s="4" t="e">
        <f>IF(A47&lt;('2. Inputs and results'!$C$21+1),L46,NA())</f>
        <v>#N/A</v>
      </c>
      <c r="M47" s="4" t="str">
        <f>IF(A47&lt;('2. Inputs and results'!$C$21+1),'2. Inputs and results'!$C$75*'2. Inputs and results'!$C$73," ")</f>
        <v xml:space="preserve"> </v>
      </c>
      <c r="N47" s="4" t="str">
        <f>IF(A47&lt;('2. Inputs and results'!$C$21+1),M47/((1+$P$2)^A47)," ")</f>
        <v xml:space="preserve"> </v>
      </c>
      <c r="O47" s="4" t="str">
        <f>IF(A47&lt;('2. Inputs and results'!$C$21+1),'2. Inputs and results'!$C$73*'2. Inputs and results'!$C$75+O46," ")</f>
        <v xml:space="preserve"> </v>
      </c>
      <c r="P47" s="4" t="str">
        <f>IF(A47&lt;('2. Inputs and results'!$C$21+1),(G47+I47+H47+J47)/((1+$P$2)^A47)," ")</f>
        <v xml:space="preserve"> </v>
      </c>
      <c r="Q47" s="4" t="str">
        <f>IF(A47&lt;('2. Inputs and results'!$C$21+1),Q46+P47," ")</f>
        <v xml:space="preserve"> </v>
      </c>
      <c r="R47" s="4" t="e">
        <f>IF(A47&lt;('2. Inputs and results'!$C$21+1),R46+G47+I47+H47+J47+T47-$V$6,NA())</f>
        <v>#N/A</v>
      </c>
      <c r="S47" s="4" t="str">
        <f>IF(A47&lt;('2. Inputs and results'!$C$21+1),'2. Inputs and results'!$C$79*(R46)," ")</f>
        <v xml:space="preserve"> </v>
      </c>
      <c r="T47" s="4">
        <f t="shared" si="1"/>
        <v>0</v>
      </c>
      <c r="U47" s="4" t="e">
        <f>IF(A47&lt;('2. Inputs and results'!$C$21+1),U46+((G47+I47+H47+J47-$V$6+T47)/((1+$P$2)^A47)),NA())</f>
        <v>#N/A</v>
      </c>
      <c r="V47" s="4" t="str">
        <f>IF(A47&lt;('2. Inputs and results'!$C$21+1),V46+('2. Inputs and results'!$C$75*'2. Inputs and results'!$C$73)," ")</f>
        <v xml:space="preserve"> </v>
      </c>
      <c r="W47" s="4" t="e">
        <f>IF(A47&lt;('2. Inputs and results'!$C$21+1),W46+C47+Y47-$V$6,NA())</f>
        <v>#N/A</v>
      </c>
      <c r="X47" s="4" t="str">
        <f>IF(A47&lt;('2. Inputs and results'!$C$21+1),'2. Inputs and results'!$C$79*(W46)," ")</f>
        <v xml:space="preserve"> </v>
      </c>
      <c r="Y47" s="4">
        <f t="shared" si="2"/>
        <v>0</v>
      </c>
      <c r="Z47" s="4" t="e">
        <f>IF(A47&lt;('2. Inputs and results'!$C$21+1),Z46+((C47-$V$6+Y47)/((1+$P$2)^A47)),NA())</f>
        <v>#N/A</v>
      </c>
      <c r="AA47" s="4" t="str">
        <f>IF(A47&lt;('2. Inputs and results'!$C$21+1),AA46+G47+I47+H47+T47-$V$6," ")</f>
        <v xml:space="preserve"> </v>
      </c>
      <c r="AB47" s="20" t="e">
        <f>IF(A47&lt;('2. Inputs and results'!$C$21+1),AA47/L47,NA())</f>
        <v>#N/A</v>
      </c>
      <c r="AC47" s="29" t="str">
        <f>IF(A47&lt;('2. Inputs and results'!$C$21+1),AC46+C47+Y47-$V$6," ")</f>
        <v xml:space="preserve"> </v>
      </c>
      <c r="AD47" s="20" t="e">
        <f>IF(A47&lt;('2. Inputs and results'!$C$21+1),AC47/L47,NA())</f>
        <v>#N/A</v>
      </c>
      <c r="AE47" t="str">
        <f>IF(A47&lt;('2. Inputs and results'!$C$21+1),-'2. Inputs and results'!$C$121*A47," ")</f>
        <v xml:space="preserve"> </v>
      </c>
      <c r="AF47" t="e">
        <f>IF(A47&lt;('2. Inputs and results'!$C$21+1),AE47/1000,NA())</f>
        <v>#N/A</v>
      </c>
    </row>
    <row r="48" spans="1:32" x14ac:dyDescent="0.25">
      <c r="A48">
        <f t="shared" si="0"/>
        <v>43</v>
      </c>
      <c r="B48" t="str">
        <f>IF(A48&lt;('2. Inputs and results'!$C$21+1),A48," ")</f>
        <v xml:space="preserve"> </v>
      </c>
      <c r="C48" s="4" t="str">
        <f>IF(A48&lt;('2. Inputs and results'!$C$21+1),'2. Inputs and results'!$C$99+'2. Inputs and results'!$C$101," ")</f>
        <v xml:space="preserve"> </v>
      </c>
      <c r="D48" s="4" t="e">
        <f>IF(A48&lt;('2. Inputs and results'!$C$21+1),D47+C48,NA())</f>
        <v>#N/A</v>
      </c>
      <c r="E48" s="4" t="str">
        <f>IF(A48&lt;('2. Inputs and results'!$C$21+1),C48/((1+$P$2)^A48)," ")</f>
        <v xml:space="preserve"> </v>
      </c>
      <c r="F48" s="4" t="str">
        <f>IF(B48&lt;('2. Inputs and results'!$C$21+1),F47+E48," ")</f>
        <v xml:space="preserve"> </v>
      </c>
      <c r="G48" s="4" t="str">
        <f>IF(A48&lt;('2. Inputs and results'!$C$21+1),G47*(1+'2. Inputs and results'!$C$44)," ")</f>
        <v xml:space="preserve"> </v>
      </c>
      <c r="H48" s="4" t="str">
        <f>IF(A48&lt;('2. Inputs and results'!$C$21+1),H47*(1+'2. Inputs and results'!$C$56)," ")</f>
        <v xml:space="preserve"> </v>
      </c>
      <c r="I48" s="4" t="str">
        <f>IF(A48&lt;('2. Inputs and results'!$C$21+1),I47*(1+'2. Inputs and results'!$C$32)," ")</f>
        <v xml:space="preserve"> </v>
      </c>
      <c r="J48" s="4" t="str">
        <f>IF(A48&lt;('2. Inputs and results'!$C$21+1),J47*(1+'2. Inputs and results'!$C$66)," ")</f>
        <v xml:space="preserve"> </v>
      </c>
      <c r="K48" s="4" t="e">
        <f>IF(A48&lt;('2. Inputs and results'!$C$21+1),K47+(G48+I48+H48+J48),NA())</f>
        <v>#N/A</v>
      </c>
      <c r="L48" s="4" t="e">
        <f>IF(A48&lt;('2. Inputs and results'!$C$21+1),L47,NA())</f>
        <v>#N/A</v>
      </c>
      <c r="M48" s="4" t="str">
        <f>IF(A48&lt;('2. Inputs and results'!$C$21+1),'2. Inputs and results'!$C$75*'2. Inputs and results'!$C$73," ")</f>
        <v xml:space="preserve"> </v>
      </c>
      <c r="N48" s="4" t="str">
        <f>IF(A48&lt;('2. Inputs and results'!$C$21+1),M48/((1+$P$2)^A48)," ")</f>
        <v xml:space="preserve"> </v>
      </c>
      <c r="O48" s="4" t="str">
        <f>IF(A48&lt;('2. Inputs and results'!$C$21+1),'2. Inputs and results'!$C$73*'2. Inputs and results'!$C$75+O47," ")</f>
        <v xml:space="preserve"> </v>
      </c>
      <c r="P48" s="4" t="str">
        <f>IF(A48&lt;('2. Inputs and results'!$C$21+1),(G48+I48+H48+J48)/((1+$P$2)^A48)," ")</f>
        <v xml:space="preserve"> </v>
      </c>
      <c r="Q48" s="4" t="str">
        <f>IF(A48&lt;('2. Inputs and results'!$C$21+1),Q47+P48," ")</f>
        <v xml:space="preserve"> </v>
      </c>
      <c r="R48" s="4" t="e">
        <f>IF(A48&lt;('2. Inputs and results'!$C$21+1),R47+G48+I48+H48+J48+T48-$V$6,NA())</f>
        <v>#N/A</v>
      </c>
      <c r="S48" s="4" t="str">
        <f>IF(A48&lt;('2. Inputs and results'!$C$21+1),'2. Inputs and results'!$C$79*(R47)," ")</f>
        <v xml:space="preserve"> </v>
      </c>
      <c r="T48" s="4">
        <f t="shared" si="1"/>
        <v>0</v>
      </c>
      <c r="U48" s="4" t="e">
        <f>IF(A48&lt;('2. Inputs and results'!$C$21+1),U47+((G48+I48+H48+J48-$V$6+T48)/((1+$P$2)^A48)),NA())</f>
        <v>#N/A</v>
      </c>
      <c r="V48" s="4" t="str">
        <f>IF(A48&lt;('2. Inputs and results'!$C$21+1),V47+('2. Inputs and results'!$C$75*'2. Inputs and results'!$C$73)," ")</f>
        <v xml:space="preserve"> </v>
      </c>
      <c r="W48" s="4" t="e">
        <f>IF(A48&lt;('2. Inputs and results'!$C$21+1),W47+C48+Y48-$V$6,NA())</f>
        <v>#N/A</v>
      </c>
      <c r="X48" s="4" t="str">
        <f>IF(A48&lt;('2. Inputs and results'!$C$21+1),'2. Inputs and results'!$C$79*(W47)," ")</f>
        <v xml:space="preserve"> </v>
      </c>
      <c r="Y48" s="4">
        <f t="shared" si="2"/>
        <v>0</v>
      </c>
      <c r="Z48" s="4" t="e">
        <f>IF(A48&lt;('2. Inputs and results'!$C$21+1),Z47+((C48-$V$6+Y48)/((1+$P$2)^A48)),NA())</f>
        <v>#N/A</v>
      </c>
      <c r="AA48" s="4" t="str">
        <f>IF(A48&lt;('2. Inputs and results'!$C$21+1),AA47+G48+I48+H48+T48-$V$6," ")</f>
        <v xml:space="preserve"> </v>
      </c>
      <c r="AB48" s="20" t="e">
        <f>IF(A48&lt;('2. Inputs and results'!$C$21+1),AA48/L48,NA())</f>
        <v>#N/A</v>
      </c>
      <c r="AC48" s="29" t="str">
        <f>IF(A48&lt;('2. Inputs and results'!$C$21+1),AC47+C48+Y48-$V$6," ")</f>
        <v xml:space="preserve"> </v>
      </c>
      <c r="AD48" s="20" t="e">
        <f>IF(A48&lt;('2. Inputs and results'!$C$21+1),AC48/L48,NA())</f>
        <v>#N/A</v>
      </c>
      <c r="AE48" t="str">
        <f>IF(A48&lt;('2. Inputs and results'!$C$21+1),-'2. Inputs and results'!$C$121*A48," ")</f>
        <v xml:space="preserve"> </v>
      </c>
      <c r="AF48" t="e">
        <f>IF(A48&lt;('2. Inputs and results'!$C$21+1),AE48/1000,NA())</f>
        <v>#N/A</v>
      </c>
    </row>
    <row r="49" spans="1:32" x14ac:dyDescent="0.25">
      <c r="A49">
        <f t="shared" si="0"/>
        <v>44</v>
      </c>
      <c r="B49" t="str">
        <f>IF(A49&lt;('2. Inputs and results'!$C$21+1),A49," ")</f>
        <v xml:space="preserve"> </v>
      </c>
      <c r="C49" s="4" t="str">
        <f>IF(A49&lt;('2. Inputs and results'!$C$21+1),'2. Inputs and results'!$C$99+'2. Inputs and results'!$C$101," ")</f>
        <v xml:space="preserve"> </v>
      </c>
      <c r="D49" s="4" t="e">
        <f>IF(A49&lt;('2. Inputs and results'!$C$21+1),D48+C49,NA())</f>
        <v>#N/A</v>
      </c>
      <c r="E49" s="4" t="str">
        <f>IF(A49&lt;('2. Inputs and results'!$C$21+1),C49/((1+$P$2)^A49)," ")</f>
        <v xml:space="preserve"> </v>
      </c>
      <c r="F49" s="4" t="str">
        <f>IF(B49&lt;('2. Inputs and results'!$C$21+1),F48+E49," ")</f>
        <v xml:space="preserve"> </v>
      </c>
      <c r="G49" s="4" t="str">
        <f>IF(A49&lt;('2. Inputs and results'!$C$21+1),G48*(1+'2. Inputs and results'!$C$44)," ")</f>
        <v xml:space="preserve"> </v>
      </c>
      <c r="H49" s="4" t="str">
        <f>IF(A49&lt;('2. Inputs and results'!$C$21+1),H48*(1+'2. Inputs and results'!$C$56)," ")</f>
        <v xml:space="preserve"> </v>
      </c>
      <c r="I49" s="4" t="str">
        <f>IF(A49&lt;('2. Inputs and results'!$C$21+1),I48*(1+'2. Inputs and results'!$C$32)," ")</f>
        <v xml:space="preserve"> </v>
      </c>
      <c r="J49" s="4" t="str">
        <f>IF(A49&lt;('2. Inputs and results'!$C$21+1),J48*(1+'2. Inputs and results'!$C$66)," ")</f>
        <v xml:space="preserve"> </v>
      </c>
      <c r="K49" s="4" t="e">
        <f>IF(A49&lt;('2. Inputs and results'!$C$21+1),K48+(G49+I49+H49+J49),NA())</f>
        <v>#N/A</v>
      </c>
      <c r="L49" s="4" t="e">
        <f>IF(A49&lt;('2. Inputs and results'!$C$21+1),L48,NA())</f>
        <v>#N/A</v>
      </c>
      <c r="M49" s="4" t="str">
        <f>IF(A49&lt;('2. Inputs and results'!$C$21+1),'2. Inputs and results'!$C$75*'2. Inputs and results'!$C$73," ")</f>
        <v xml:space="preserve"> </v>
      </c>
      <c r="N49" s="4" t="str">
        <f>IF(A49&lt;('2. Inputs and results'!$C$21+1),M49/((1+$P$2)^A49)," ")</f>
        <v xml:space="preserve"> </v>
      </c>
      <c r="O49" s="4" t="str">
        <f>IF(A49&lt;('2. Inputs and results'!$C$21+1),'2. Inputs and results'!$C$73*'2. Inputs and results'!$C$75+O48," ")</f>
        <v xml:space="preserve"> </v>
      </c>
      <c r="P49" s="4" t="str">
        <f>IF(A49&lt;('2. Inputs and results'!$C$21+1),(G49+I49+H49+J49)/((1+$P$2)^A49)," ")</f>
        <v xml:space="preserve"> </v>
      </c>
      <c r="Q49" s="4" t="str">
        <f>IF(A49&lt;('2. Inputs and results'!$C$21+1),Q48+P49," ")</f>
        <v xml:space="preserve"> </v>
      </c>
      <c r="R49" s="4" t="e">
        <f>IF(A49&lt;('2. Inputs and results'!$C$21+1),R48+G49+I49+H49+J49+T49-$V$6,NA())</f>
        <v>#N/A</v>
      </c>
      <c r="S49" s="4" t="str">
        <f>IF(A49&lt;('2. Inputs and results'!$C$21+1),'2. Inputs and results'!$C$79*(R48)," ")</f>
        <v xml:space="preserve"> </v>
      </c>
      <c r="T49" s="4">
        <f t="shared" si="1"/>
        <v>0</v>
      </c>
      <c r="U49" s="4" t="e">
        <f>IF(A49&lt;('2. Inputs and results'!$C$21+1),U48+((G49+I49+H49+J49-$V$6+T49)/((1+$P$2)^A49)),NA())</f>
        <v>#N/A</v>
      </c>
      <c r="V49" s="4" t="str">
        <f>IF(A49&lt;('2. Inputs and results'!$C$21+1),V48+('2. Inputs and results'!$C$75*'2. Inputs and results'!$C$73)," ")</f>
        <v xml:space="preserve"> </v>
      </c>
      <c r="W49" s="4" t="e">
        <f>IF(A49&lt;('2. Inputs and results'!$C$21+1),W48+C49+Y49-$V$6,NA())</f>
        <v>#N/A</v>
      </c>
      <c r="X49" s="4" t="str">
        <f>IF(A49&lt;('2. Inputs and results'!$C$21+1),'2. Inputs and results'!$C$79*(W48)," ")</f>
        <v xml:space="preserve"> </v>
      </c>
      <c r="Y49" s="4">
        <f t="shared" si="2"/>
        <v>0</v>
      </c>
      <c r="Z49" s="4" t="e">
        <f>IF(A49&lt;('2. Inputs and results'!$C$21+1),Z48+((C49-$V$6+Y49)/((1+$P$2)^A49)),NA())</f>
        <v>#N/A</v>
      </c>
      <c r="AA49" s="4" t="str">
        <f>IF(A49&lt;('2. Inputs and results'!$C$21+1),AA48+G49+I49+H49+T49-$V$6," ")</f>
        <v xml:space="preserve"> </v>
      </c>
      <c r="AB49" s="20" t="e">
        <f>IF(A49&lt;('2. Inputs and results'!$C$21+1),AA49/L49,NA())</f>
        <v>#N/A</v>
      </c>
      <c r="AC49" s="29" t="str">
        <f>IF(A49&lt;('2. Inputs and results'!$C$21+1),AC48+C49+Y49-$V$6," ")</f>
        <v xml:space="preserve"> </v>
      </c>
      <c r="AD49" s="20" t="e">
        <f>IF(A49&lt;('2. Inputs and results'!$C$21+1),AC49/L49,NA())</f>
        <v>#N/A</v>
      </c>
      <c r="AE49" t="str">
        <f>IF(A49&lt;('2. Inputs and results'!$C$21+1),-'2. Inputs and results'!$C$121*A49," ")</f>
        <v xml:space="preserve"> </v>
      </c>
      <c r="AF49" t="e">
        <f>IF(A49&lt;('2. Inputs and results'!$C$21+1),AE49/1000,NA())</f>
        <v>#N/A</v>
      </c>
    </row>
    <row r="50" spans="1:32" x14ac:dyDescent="0.25">
      <c r="A50">
        <f t="shared" si="0"/>
        <v>45</v>
      </c>
      <c r="B50" t="str">
        <f>IF(A50&lt;('2. Inputs and results'!$C$21+1),A50," ")</f>
        <v xml:space="preserve"> </v>
      </c>
      <c r="C50" s="4" t="str">
        <f>IF(A50&lt;('2. Inputs and results'!$C$21+1),'2. Inputs and results'!$C$99+'2. Inputs and results'!$C$101," ")</f>
        <v xml:space="preserve"> </v>
      </c>
      <c r="D50" s="4" t="e">
        <f>IF(A50&lt;('2. Inputs and results'!$C$21+1),D49+C50,NA())</f>
        <v>#N/A</v>
      </c>
      <c r="E50" s="4" t="str">
        <f>IF(A50&lt;('2. Inputs and results'!$C$21+1),C50/((1+$P$2)^A50)," ")</f>
        <v xml:space="preserve"> </v>
      </c>
      <c r="F50" s="4" t="str">
        <f>IF(B50&lt;('2. Inputs and results'!$C$21+1),F49+E50," ")</f>
        <v xml:space="preserve"> </v>
      </c>
      <c r="G50" s="4" t="str">
        <f>IF(A50&lt;('2. Inputs and results'!$C$21+1),G49*(1+'2. Inputs and results'!$C$44)," ")</f>
        <v xml:space="preserve"> </v>
      </c>
      <c r="H50" s="4" t="str">
        <f>IF(A50&lt;('2. Inputs and results'!$C$21+1),H49*(1+'2. Inputs and results'!$C$56)," ")</f>
        <v xml:space="preserve"> </v>
      </c>
      <c r="I50" s="4" t="str">
        <f>IF(A50&lt;('2. Inputs and results'!$C$21+1),I49*(1+'2. Inputs and results'!$C$32)," ")</f>
        <v xml:space="preserve"> </v>
      </c>
      <c r="J50" s="4" t="str">
        <f>IF(A50&lt;('2. Inputs and results'!$C$21+1),J49*(1+'2. Inputs and results'!$C$66)," ")</f>
        <v xml:space="preserve"> </v>
      </c>
      <c r="K50" s="4" t="e">
        <f>IF(A50&lt;('2. Inputs and results'!$C$21+1),K49+(G50+I50+H50+J50),NA())</f>
        <v>#N/A</v>
      </c>
      <c r="L50" s="4" t="e">
        <f>IF(A50&lt;('2. Inputs and results'!$C$21+1),L49,NA())</f>
        <v>#N/A</v>
      </c>
      <c r="M50" s="4" t="str">
        <f>IF(A50&lt;('2. Inputs and results'!$C$21+1),'2. Inputs and results'!$C$75*'2. Inputs and results'!$C$73," ")</f>
        <v xml:space="preserve"> </v>
      </c>
      <c r="N50" s="4" t="str">
        <f>IF(A50&lt;('2. Inputs and results'!$C$21+1),M50/((1+$P$2)^A50)," ")</f>
        <v xml:space="preserve"> </v>
      </c>
      <c r="O50" s="4" t="str">
        <f>IF(A50&lt;('2. Inputs and results'!$C$21+1),'2. Inputs and results'!$C$73*'2. Inputs and results'!$C$75+O49," ")</f>
        <v xml:space="preserve"> </v>
      </c>
      <c r="P50" s="4" t="str">
        <f>IF(A50&lt;('2. Inputs and results'!$C$21+1),(G50+I50+H50+J50)/((1+$P$2)^A50)," ")</f>
        <v xml:space="preserve"> </v>
      </c>
      <c r="Q50" s="4" t="str">
        <f>IF(A50&lt;('2. Inputs and results'!$C$21+1),Q49+P50," ")</f>
        <v xml:space="preserve"> </v>
      </c>
      <c r="R50" s="4" t="e">
        <f>IF(A50&lt;('2. Inputs and results'!$C$21+1),R49+G50+I50+H50+J50+T50-$V$6,NA())</f>
        <v>#N/A</v>
      </c>
      <c r="S50" s="4" t="str">
        <f>IF(A50&lt;('2. Inputs and results'!$C$21+1),'2. Inputs and results'!$C$79*(R49)," ")</f>
        <v xml:space="preserve"> </v>
      </c>
      <c r="T50" s="4">
        <f t="shared" si="1"/>
        <v>0</v>
      </c>
      <c r="U50" s="4" t="e">
        <f>IF(A50&lt;('2. Inputs and results'!$C$21+1),U49+((G50+I50+H50+J50-$V$6+T50)/((1+$P$2)^A50)),NA())</f>
        <v>#N/A</v>
      </c>
      <c r="V50" s="4" t="str">
        <f>IF(A50&lt;('2. Inputs and results'!$C$21+1),V49+('2. Inputs and results'!$C$75*'2. Inputs and results'!$C$73)," ")</f>
        <v xml:space="preserve"> </v>
      </c>
      <c r="W50" s="4" t="e">
        <f>IF(A50&lt;('2. Inputs and results'!$C$21+1),W49+C50+Y50-$V$6,NA())</f>
        <v>#N/A</v>
      </c>
      <c r="X50" s="4" t="str">
        <f>IF(A50&lt;('2. Inputs and results'!$C$21+1),'2. Inputs and results'!$C$79*(W49)," ")</f>
        <v xml:space="preserve"> </v>
      </c>
      <c r="Y50" s="4">
        <f t="shared" si="2"/>
        <v>0</v>
      </c>
      <c r="Z50" s="4" t="e">
        <f>IF(A50&lt;('2. Inputs and results'!$C$21+1),Z49+((C50-$V$6+Y50)/((1+$P$2)^A50)),NA())</f>
        <v>#N/A</v>
      </c>
      <c r="AA50" s="4" t="str">
        <f>IF(A50&lt;('2. Inputs and results'!$C$21+1),AA49+G50+I50+H50+T50-$V$6," ")</f>
        <v xml:space="preserve"> </v>
      </c>
      <c r="AB50" s="20" t="e">
        <f>IF(A50&lt;('2. Inputs and results'!$C$21+1),AA50/L50,NA())</f>
        <v>#N/A</v>
      </c>
      <c r="AC50" s="29" t="str">
        <f>IF(A50&lt;('2. Inputs and results'!$C$21+1),AC49+C50+Y50-$V$6," ")</f>
        <v xml:space="preserve"> </v>
      </c>
      <c r="AD50" s="20" t="e">
        <f>IF(A50&lt;('2. Inputs and results'!$C$21+1),AC50/L50,NA())</f>
        <v>#N/A</v>
      </c>
      <c r="AE50" t="str">
        <f>IF(A50&lt;('2. Inputs and results'!$C$21+1),-'2. Inputs and results'!$C$121*A50," ")</f>
        <v xml:space="preserve"> </v>
      </c>
      <c r="AF50" t="e">
        <f>IF(A50&lt;('2. Inputs and results'!$C$21+1),AE50/1000,NA())</f>
        <v>#N/A</v>
      </c>
    </row>
    <row r="51" spans="1:32" x14ac:dyDescent="0.25">
      <c r="A51">
        <f t="shared" si="0"/>
        <v>46</v>
      </c>
      <c r="B51" t="str">
        <f>IF(A51&lt;('2. Inputs and results'!$C$21+1),A51," ")</f>
        <v xml:space="preserve"> </v>
      </c>
      <c r="C51" s="4" t="str">
        <f>IF(A51&lt;('2. Inputs and results'!$C$21+1),'2. Inputs and results'!$C$99+'2. Inputs and results'!$C$101," ")</f>
        <v xml:space="preserve"> </v>
      </c>
      <c r="D51" s="4" t="e">
        <f>IF(A51&lt;('2. Inputs and results'!$C$21+1),D50+C51,NA())</f>
        <v>#N/A</v>
      </c>
      <c r="E51" s="4" t="str">
        <f>IF(A51&lt;('2. Inputs and results'!$C$21+1),C51/((1+$P$2)^A51)," ")</f>
        <v xml:space="preserve"> </v>
      </c>
      <c r="F51" s="4" t="str">
        <f>IF(B51&lt;('2. Inputs and results'!$C$21+1),F50+E51," ")</f>
        <v xml:space="preserve"> </v>
      </c>
      <c r="G51" s="4" t="str">
        <f>IF(A51&lt;('2. Inputs and results'!$C$21+1),G50*(1+'2. Inputs and results'!$C$44)," ")</f>
        <v xml:space="preserve"> </v>
      </c>
      <c r="H51" s="4" t="str">
        <f>IF(A51&lt;('2. Inputs and results'!$C$21+1),H50*(1+'2. Inputs and results'!$C$56)," ")</f>
        <v xml:space="preserve"> </v>
      </c>
      <c r="I51" s="4" t="str">
        <f>IF(A51&lt;('2. Inputs and results'!$C$21+1),I50*(1+'2. Inputs and results'!$C$32)," ")</f>
        <v xml:space="preserve"> </v>
      </c>
      <c r="J51" s="4" t="str">
        <f>IF(A51&lt;('2. Inputs and results'!$C$21+1),J50*(1+'2. Inputs and results'!$C$66)," ")</f>
        <v xml:space="preserve"> </v>
      </c>
      <c r="K51" s="4" t="e">
        <f>IF(A51&lt;('2. Inputs and results'!$C$21+1),K50+(G51+I51+H51+J51),NA())</f>
        <v>#N/A</v>
      </c>
      <c r="L51" s="4" t="e">
        <f>IF(A51&lt;('2. Inputs and results'!$C$21+1),L50,NA())</f>
        <v>#N/A</v>
      </c>
      <c r="M51" s="4" t="str">
        <f>IF(A51&lt;('2. Inputs and results'!$C$21+1),'2. Inputs and results'!$C$75*'2. Inputs and results'!$C$73," ")</f>
        <v xml:space="preserve"> </v>
      </c>
      <c r="N51" s="4" t="str">
        <f>IF(A51&lt;('2. Inputs and results'!$C$21+1),M51/((1+$P$2)^A51)," ")</f>
        <v xml:space="preserve"> </v>
      </c>
      <c r="O51" s="4" t="str">
        <f>IF(A51&lt;('2. Inputs and results'!$C$21+1),'2. Inputs and results'!$C$73*'2. Inputs and results'!$C$75+O50," ")</f>
        <v xml:space="preserve"> </v>
      </c>
      <c r="P51" s="4" t="str">
        <f>IF(A51&lt;('2. Inputs and results'!$C$21+1),(G51+I51+H51+J51)/((1+$P$2)^A51)," ")</f>
        <v xml:space="preserve"> </v>
      </c>
      <c r="Q51" s="4" t="str">
        <f>IF(A51&lt;('2. Inputs and results'!$C$21+1),Q50+P51," ")</f>
        <v xml:space="preserve"> </v>
      </c>
      <c r="R51" s="4" t="e">
        <f>IF(A51&lt;('2. Inputs and results'!$C$21+1),R50+G51+I51+H51+J51+T51-$V$6,NA())</f>
        <v>#N/A</v>
      </c>
      <c r="S51" s="4" t="str">
        <f>IF(A51&lt;('2. Inputs and results'!$C$21+1),'2. Inputs and results'!$C$79*(R50)," ")</f>
        <v xml:space="preserve"> </v>
      </c>
      <c r="T51" s="4">
        <f t="shared" si="1"/>
        <v>0</v>
      </c>
      <c r="U51" s="4" t="e">
        <f>IF(A51&lt;('2. Inputs and results'!$C$21+1),U50+((G51+I51+H51+J51-$V$6+T51)/((1+$P$2)^A51)),NA())</f>
        <v>#N/A</v>
      </c>
      <c r="V51" s="4" t="str">
        <f>IF(A51&lt;('2. Inputs and results'!$C$21+1),V50+('2. Inputs and results'!$C$75*'2. Inputs and results'!$C$73)," ")</f>
        <v xml:space="preserve"> </v>
      </c>
      <c r="W51" s="4" t="e">
        <f>IF(A51&lt;('2. Inputs and results'!$C$21+1),W50+C51+Y51-$V$6,NA())</f>
        <v>#N/A</v>
      </c>
      <c r="X51" s="4" t="str">
        <f>IF(A51&lt;('2. Inputs and results'!$C$21+1),'2. Inputs and results'!$C$79*(W50)," ")</f>
        <v xml:space="preserve"> </v>
      </c>
      <c r="Y51" s="4">
        <f t="shared" si="2"/>
        <v>0</v>
      </c>
      <c r="Z51" s="4" t="e">
        <f>IF(A51&lt;('2. Inputs and results'!$C$21+1),Z50+((C51-$V$6+Y51)/((1+$P$2)^A51)),NA())</f>
        <v>#N/A</v>
      </c>
      <c r="AA51" s="4" t="str">
        <f>IF(A51&lt;('2. Inputs and results'!$C$21+1),AA50+G51+I51+H51+T51-$V$6," ")</f>
        <v xml:space="preserve"> </v>
      </c>
      <c r="AB51" s="20" t="e">
        <f>IF(A51&lt;('2. Inputs and results'!$C$21+1),AA51/L51,NA())</f>
        <v>#N/A</v>
      </c>
      <c r="AC51" s="29" t="str">
        <f>IF(A51&lt;('2. Inputs and results'!$C$21+1),AC50+C51+Y51-$V$6," ")</f>
        <v xml:space="preserve"> </v>
      </c>
      <c r="AD51" s="20" t="e">
        <f>IF(A51&lt;('2. Inputs and results'!$C$21+1),AC51/L51,NA())</f>
        <v>#N/A</v>
      </c>
      <c r="AE51" t="str">
        <f>IF(A51&lt;('2. Inputs and results'!$C$21+1),-'2. Inputs and results'!$C$121*A51," ")</f>
        <v xml:space="preserve"> </v>
      </c>
      <c r="AF51" t="e">
        <f>IF(A51&lt;('2. Inputs and results'!$C$21+1),AE51/1000,NA())</f>
        <v>#N/A</v>
      </c>
    </row>
    <row r="52" spans="1:32" x14ac:dyDescent="0.25">
      <c r="A52">
        <f>A51+1</f>
        <v>47</v>
      </c>
      <c r="B52" t="str">
        <f>IF(A52&lt;('2. Inputs and results'!$C$21+1),A52," ")</f>
        <v xml:space="preserve"> </v>
      </c>
      <c r="C52" s="4" t="str">
        <f>IF(A52&lt;('2. Inputs and results'!$C$21+1),'2. Inputs and results'!$C$99+'2. Inputs and results'!$C$101," ")</f>
        <v xml:space="preserve"> </v>
      </c>
      <c r="D52" s="4" t="e">
        <f>IF(A52&lt;('2. Inputs and results'!$C$21+1),D51+C52,NA())</f>
        <v>#N/A</v>
      </c>
      <c r="E52" s="4" t="str">
        <f>IF(A52&lt;('2. Inputs and results'!$C$21+1),C52/((1+$P$2)^A52)," ")</f>
        <v xml:space="preserve"> </v>
      </c>
      <c r="F52" s="4" t="str">
        <f>IF(B52&lt;('2. Inputs and results'!$C$21+1),F51+E52," ")</f>
        <v xml:space="preserve"> </v>
      </c>
      <c r="G52" s="4" t="str">
        <f>IF(A52&lt;('2. Inputs and results'!$C$21+1),G51*(1+'2. Inputs and results'!$C$44)," ")</f>
        <v xml:space="preserve"> </v>
      </c>
      <c r="H52" s="4" t="str">
        <f>IF(A52&lt;('2. Inputs and results'!$C$21+1),H51*(1+'2. Inputs and results'!$C$56)," ")</f>
        <v xml:space="preserve"> </v>
      </c>
      <c r="I52" s="4" t="str">
        <f>IF(A52&lt;('2. Inputs and results'!$C$21+1),I51*(1+'2. Inputs and results'!$C$32)," ")</f>
        <v xml:space="preserve"> </v>
      </c>
      <c r="J52" s="4" t="str">
        <f>IF(A52&lt;('2. Inputs and results'!$C$21+1),J51*(1+'2. Inputs and results'!$C$66)," ")</f>
        <v xml:space="preserve"> </v>
      </c>
      <c r="K52" s="4" t="e">
        <f>IF(A52&lt;('2. Inputs and results'!$C$21+1),K51+(G52+I52+H52+J52),NA())</f>
        <v>#N/A</v>
      </c>
      <c r="L52" s="4" t="e">
        <f>IF(A52&lt;('2. Inputs and results'!$C$21+1),L51,NA())</f>
        <v>#N/A</v>
      </c>
      <c r="M52" s="4" t="str">
        <f>IF(A52&lt;('2. Inputs and results'!$C$21+1),'2. Inputs and results'!$C$75*'2. Inputs and results'!$C$73," ")</f>
        <v xml:space="preserve"> </v>
      </c>
      <c r="N52" s="4" t="str">
        <f>IF(A52&lt;('2. Inputs and results'!$C$21+1),M52/((1+$P$2)^A52)," ")</f>
        <v xml:space="preserve"> </v>
      </c>
      <c r="O52" s="4" t="str">
        <f>IF(A52&lt;('2. Inputs and results'!$C$21+1),'2. Inputs and results'!$C$73*'2. Inputs and results'!$C$75+O51," ")</f>
        <v xml:space="preserve"> </v>
      </c>
      <c r="P52" s="4" t="str">
        <f>IF(A52&lt;('2. Inputs and results'!$C$21+1),(G52+I52+H52+J52)/((1+$P$2)^A52)," ")</f>
        <v xml:space="preserve"> </v>
      </c>
      <c r="Q52" s="4" t="str">
        <f>IF(A52&lt;('2. Inputs and results'!$C$21+1),Q51+P52," ")</f>
        <v xml:space="preserve"> </v>
      </c>
      <c r="R52" s="4" t="e">
        <f>IF(A52&lt;('2. Inputs and results'!$C$21+1),R51+G52+I52+H52+J52+T52-$V$6,NA())</f>
        <v>#N/A</v>
      </c>
      <c r="S52" s="4" t="str">
        <f>IF(A52&lt;('2. Inputs and results'!$C$21+1),'2. Inputs and results'!$C$79*(R51)," ")</f>
        <v xml:space="preserve"> </v>
      </c>
      <c r="T52" s="4">
        <f t="shared" si="1"/>
        <v>0</v>
      </c>
      <c r="U52" s="4" t="e">
        <f>IF(A52&lt;('2. Inputs and results'!$C$21+1),U51+((G52+I52+H52+J52-$V$6+T52)/((1+$P$2)^A52)),NA())</f>
        <v>#N/A</v>
      </c>
      <c r="V52" s="4" t="str">
        <f>IF(A52&lt;('2. Inputs and results'!$C$21+1),V51+('2. Inputs and results'!$C$75*'2. Inputs and results'!$C$73)," ")</f>
        <v xml:space="preserve"> </v>
      </c>
      <c r="W52" s="4" t="e">
        <f>IF(A52&lt;('2. Inputs and results'!$C$21+1),W51+C52+Y52-$V$6,NA())</f>
        <v>#N/A</v>
      </c>
      <c r="X52" s="4" t="str">
        <f>IF(A52&lt;('2. Inputs and results'!$C$21+1),'2. Inputs and results'!$C$79*(W51)," ")</f>
        <v xml:space="preserve"> </v>
      </c>
      <c r="Y52" s="4">
        <f t="shared" si="2"/>
        <v>0</v>
      </c>
      <c r="Z52" s="4" t="e">
        <f>IF(A52&lt;('2. Inputs and results'!$C$21+1),Z51+((C52-$V$6+Y52)/((1+$P$2)^A52)),NA())</f>
        <v>#N/A</v>
      </c>
      <c r="AA52" s="4" t="str">
        <f>IF(A52&lt;('2. Inputs and results'!$C$21+1),AA51+G52+I52+H52+T52-$V$6," ")</f>
        <v xml:space="preserve"> </v>
      </c>
      <c r="AB52" s="20" t="e">
        <f>IF(A52&lt;('2. Inputs and results'!$C$21+1),AA52/L52,NA())</f>
        <v>#N/A</v>
      </c>
      <c r="AC52" s="29" t="str">
        <f>IF(A52&lt;('2. Inputs and results'!$C$21+1),AC51+C52+Y52-$V$6," ")</f>
        <v xml:space="preserve"> </v>
      </c>
      <c r="AD52" s="20" t="e">
        <f>IF(A52&lt;('2. Inputs and results'!$C$21+1),AC52/L52,NA())</f>
        <v>#N/A</v>
      </c>
      <c r="AE52" t="str">
        <f>IF(A52&lt;('2. Inputs and results'!$C$21+1),-'2. Inputs and results'!$C$121*A52," ")</f>
        <v xml:space="preserve"> </v>
      </c>
      <c r="AF52" t="e">
        <f>IF(A52&lt;('2. Inputs and results'!$C$21+1),AE52/1000,NA())</f>
        <v>#N/A</v>
      </c>
    </row>
    <row r="53" spans="1:32" x14ac:dyDescent="0.25">
      <c r="A53">
        <f t="shared" si="0"/>
        <v>48</v>
      </c>
      <c r="B53" t="str">
        <f>IF(A53&lt;('2. Inputs and results'!$C$21+1),A53," ")</f>
        <v xml:space="preserve"> </v>
      </c>
      <c r="C53" s="4" t="str">
        <f>IF(A53&lt;('2. Inputs and results'!$C$21+1),'2. Inputs and results'!$C$99+'2. Inputs and results'!$C$101," ")</f>
        <v xml:space="preserve"> </v>
      </c>
      <c r="D53" s="4" t="e">
        <f>IF(A53&lt;('2. Inputs and results'!$C$21+1),D52+C53,NA())</f>
        <v>#N/A</v>
      </c>
      <c r="E53" s="4" t="str">
        <f>IF(A53&lt;('2. Inputs and results'!$C$21+1),C53/((1+$P$2)^A53)," ")</f>
        <v xml:space="preserve"> </v>
      </c>
      <c r="F53" s="4" t="str">
        <f>IF(B53&lt;('2. Inputs and results'!$C$21+1),F52+E53," ")</f>
        <v xml:space="preserve"> </v>
      </c>
      <c r="G53" s="4" t="str">
        <f>IF(A53&lt;('2. Inputs and results'!$C$21+1),G52*(1+'2. Inputs and results'!$C$44)," ")</f>
        <v xml:space="preserve"> </v>
      </c>
      <c r="H53" s="4" t="str">
        <f>IF(A53&lt;('2. Inputs and results'!$C$21+1),H52*(1+'2. Inputs and results'!$C$56)," ")</f>
        <v xml:space="preserve"> </v>
      </c>
      <c r="I53" s="4" t="str">
        <f>IF(A53&lt;('2. Inputs and results'!$C$21+1),I52*(1+'2. Inputs and results'!$C$32)," ")</f>
        <v xml:space="preserve"> </v>
      </c>
      <c r="J53" s="4" t="str">
        <f>IF(A53&lt;('2. Inputs and results'!$C$21+1),J52*(1+'2. Inputs and results'!$C$66)," ")</f>
        <v xml:space="preserve"> </v>
      </c>
      <c r="K53" s="4" t="e">
        <f>IF(A53&lt;('2. Inputs and results'!$C$21+1),K52+(G53+I53+H53+J53),NA())</f>
        <v>#N/A</v>
      </c>
      <c r="L53" s="4" t="e">
        <f>IF(A53&lt;('2. Inputs and results'!$C$21+1),L52,NA())</f>
        <v>#N/A</v>
      </c>
      <c r="M53" s="4" t="str">
        <f>IF(A53&lt;('2. Inputs and results'!$C$21+1),'2. Inputs and results'!$C$75*'2. Inputs and results'!$C$73," ")</f>
        <v xml:space="preserve"> </v>
      </c>
      <c r="N53" s="4" t="str">
        <f>IF(A53&lt;('2. Inputs and results'!$C$21+1),M53/((1+$P$2)^A53)," ")</f>
        <v xml:space="preserve"> </v>
      </c>
      <c r="O53" s="4" t="str">
        <f>IF(A53&lt;('2. Inputs and results'!$C$21+1),'2. Inputs and results'!$C$73*'2. Inputs and results'!$C$75+O52," ")</f>
        <v xml:space="preserve"> </v>
      </c>
      <c r="P53" s="4" t="str">
        <f>IF(A53&lt;('2. Inputs and results'!$C$21+1),(G53+I53+H53+J53)/((1+$P$2)^A53)," ")</f>
        <v xml:space="preserve"> </v>
      </c>
      <c r="Q53" s="4" t="str">
        <f>IF(A53&lt;('2. Inputs and results'!$C$21+1),Q52+P53," ")</f>
        <v xml:space="preserve"> </v>
      </c>
      <c r="R53" s="4" t="e">
        <f>IF(A53&lt;('2. Inputs and results'!$C$21+1),R52+G53+I53+H53+J53+T53-$V$6,NA())</f>
        <v>#N/A</v>
      </c>
      <c r="S53" s="4" t="str">
        <f>IF(A53&lt;('2. Inputs and results'!$C$21+1),'2. Inputs and results'!$C$79*(R52)," ")</f>
        <v xml:space="preserve"> </v>
      </c>
      <c r="T53" s="4">
        <f t="shared" si="1"/>
        <v>0</v>
      </c>
      <c r="U53" s="4" t="e">
        <f>IF(A53&lt;('2. Inputs and results'!$C$21+1),U52+((G53+I53+H53+J53-$V$6+T53)/((1+$P$2)^A53)),NA())</f>
        <v>#N/A</v>
      </c>
      <c r="V53" s="4" t="str">
        <f>IF(A53&lt;('2. Inputs and results'!$C$21+1),V52+('2. Inputs and results'!$C$75*'2. Inputs and results'!$C$73)," ")</f>
        <v xml:space="preserve"> </v>
      </c>
      <c r="W53" s="4" t="e">
        <f>IF(A53&lt;('2. Inputs and results'!$C$21+1),W52+C53+Y53-$V$6,NA())</f>
        <v>#N/A</v>
      </c>
      <c r="X53" s="4" t="str">
        <f>IF(A53&lt;('2. Inputs and results'!$C$21+1),'2. Inputs and results'!$C$79*(W52)," ")</f>
        <v xml:space="preserve"> </v>
      </c>
      <c r="Y53" s="4">
        <f t="shared" si="2"/>
        <v>0</v>
      </c>
      <c r="Z53" s="4" t="e">
        <f>IF(A53&lt;('2. Inputs and results'!$C$21+1),Z52+((C53-$V$6+Y53)/((1+$P$2)^A53)),NA())</f>
        <v>#N/A</v>
      </c>
      <c r="AA53" s="4" t="str">
        <f>IF(A53&lt;('2. Inputs and results'!$C$21+1),AA52+G53+I53+H53+T53-$V$6," ")</f>
        <v xml:space="preserve"> </v>
      </c>
      <c r="AB53" s="20" t="e">
        <f>IF(A53&lt;('2. Inputs and results'!$C$21+1),AA53/L53,NA())</f>
        <v>#N/A</v>
      </c>
      <c r="AC53" s="29" t="str">
        <f>IF(A53&lt;('2. Inputs and results'!$C$21+1),AC52+C53+Y53-$V$6," ")</f>
        <v xml:space="preserve"> </v>
      </c>
      <c r="AD53" s="20" t="e">
        <f>IF(A53&lt;('2. Inputs and results'!$C$21+1),AC53/L53,NA())</f>
        <v>#N/A</v>
      </c>
      <c r="AE53" t="str">
        <f>IF(A53&lt;('2. Inputs and results'!$C$21+1),-'2. Inputs and results'!$C$121*A53," ")</f>
        <v xml:space="preserve"> </v>
      </c>
      <c r="AF53" t="e">
        <f>IF(A53&lt;('2. Inputs and results'!$C$21+1),AE53/1000,NA())</f>
        <v>#N/A</v>
      </c>
    </row>
    <row r="54" spans="1:32" x14ac:dyDescent="0.25">
      <c r="A54">
        <f t="shared" si="0"/>
        <v>49</v>
      </c>
      <c r="B54" t="str">
        <f>IF(A54&lt;('2. Inputs and results'!$C$21+1),A54," ")</f>
        <v xml:space="preserve"> </v>
      </c>
      <c r="C54" s="4" t="str">
        <f>IF(A54&lt;('2. Inputs and results'!$C$21+1),'2. Inputs and results'!$C$99+'2. Inputs and results'!$C$101," ")</f>
        <v xml:space="preserve"> </v>
      </c>
      <c r="D54" s="4" t="e">
        <f>IF(A54&lt;('2. Inputs and results'!$C$21+1),D53+C54,NA())</f>
        <v>#N/A</v>
      </c>
      <c r="E54" s="4" t="str">
        <f>IF(A54&lt;('2. Inputs and results'!$C$21+1),C54/((1+$P$2)^A54)," ")</f>
        <v xml:space="preserve"> </v>
      </c>
      <c r="F54" s="4" t="str">
        <f>IF(B54&lt;('2. Inputs and results'!$C$21+1),F53+E54," ")</f>
        <v xml:space="preserve"> </v>
      </c>
      <c r="G54" s="4" t="str">
        <f>IF(A54&lt;('2. Inputs and results'!$C$21+1),G53*(1+'2. Inputs and results'!$C$44)," ")</f>
        <v xml:space="preserve"> </v>
      </c>
      <c r="H54" s="4" t="str">
        <f>IF(A54&lt;('2. Inputs and results'!$C$21+1),H53*(1+'2. Inputs and results'!$C$56)," ")</f>
        <v xml:space="preserve"> </v>
      </c>
      <c r="I54" s="4" t="str">
        <f>IF(A54&lt;('2. Inputs and results'!$C$21+1),I53*(1+'2. Inputs and results'!$C$32)," ")</f>
        <v xml:space="preserve"> </v>
      </c>
      <c r="J54" s="4" t="str">
        <f>IF(A54&lt;('2. Inputs and results'!$C$21+1),J53*(1+'2. Inputs and results'!$C$66)," ")</f>
        <v xml:space="preserve"> </v>
      </c>
      <c r="K54" s="4" t="e">
        <f>IF(A54&lt;('2. Inputs and results'!$C$21+1),K53+(G54+I54+H54+J54),NA())</f>
        <v>#N/A</v>
      </c>
      <c r="L54" s="4" t="e">
        <f>IF(A54&lt;('2. Inputs and results'!$C$21+1),L53,NA())</f>
        <v>#N/A</v>
      </c>
      <c r="M54" s="4" t="str">
        <f>IF(A54&lt;('2. Inputs and results'!$C$21+1),'2. Inputs and results'!$C$75*'2. Inputs and results'!$C$73," ")</f>
        <v xml:space="preserve"> </v>
      </c>
      <c r="N54" s="4" t="str">
        <f>IF(A54&lt;('2. Inputs and results'!$C$21+1),M54/((1+$P$2)^A54)," ")</f>
        <v xml:space="preserve"> </v>
      </c>
      <c r="O54" s="4" t="str">
        <f>IF(A54&lt;('2. Inputs and results'!$C$21+1),'2. Inputs and results'!$C$73*'2. Inputs and results'!$C$75+O53," ")</f>
        <v xml:space="preserve"> </v>
      </c>
      <c r="P54" s="4" t="str">
        <f>IF(A54&lt;('2. Inputs and results'!$C$21+1),(G54+I54+H54+J54)/((1+$P$2)^A54)," ")</f>
        <v xml:space="preserve"> </v>
      </c>
      <c r="Q54" s="4" t="str">
        <f>IF(A54&lt;('2. Inputs and results'!$C$21+1),Q53+P54," ")</f>
        <v xml:space="preserve"> </v>
      </c>
      <c r="R54" s="4" t="e">
        <f>IF(A54&lt;('2. Inputs and results'!$C$21+1),R53+G54+I54+H54+J54+T54-$V$6,NA())</f>
        <v>#N/A</v>
      </c>
      <c r="S54" s="4" t="str">
        <f>IF(A54&lt;('2. Inputs and results'!$C$21+1),'2. Inputs and results'!$C$79*(R53)," ")</f>
        <v xml:space="preserve"> </v>
      </c>
      <c r="T54" s="4">
        <f t="shared" si="1"/>
        <v>0</v>
      </c>
      <c r="U54" s="4" t="e">
        <f>IF(A54&lt;('2. Inputs and results'!$C$21+1),U53+((G54+I54+H54+J54-$V$6+T54)/((1+$P$2)^A54)),NA())</f>
        <v>#N/A</v>
      </c>
      <c r="V54" s="4" t="str">
        <f>IF(A54&lt;('2. Inputs and results'!$C$21+1),V53+('2. Inputs and results'!$C$75*'2. Inputs and results'!$C$73)," ")</f>
        <v xml:space="preserve"> </v>
      </c>
      <c r="W54" s="4" t="e">
        <f>IF(A54&lt;('2. Inputs and results'!$C$21+1),W53+C54+Y54-$V$6,NA())</f>
        <v>#N/A</v>
      </c>
      <c r="X54" s="4" t="str">
        <f>IF(A54&lt;('2. Inputs and results'!$C$21+1),'2. Inputs and results'!$C$79*(W53)," ")</f>
        <v xml:space="preserve"> </v>
      </c>
      <c r="Y54" s="4">
        <f t="shared" si="2"/>
        <v>0</v>
      </c>
      <c r="Z54" s="4" t="e">
        <f>IF(A54&lt;('2. Inputs and results'!$C$21+1),Z53+((C54-$V$6+Y54)/((1+$P$2)^A54)),NA())</f>
        <v>#N/A</v>
      </c>
      <c r="AA54" s="4" t="str">
        <f>IF(A54&lt;('2. Inputs and results'!$C$21+1),AA53+G54+I54+H54+T54-$V$6," ")</f>
        <v xml:space="preserve"> </v>
      </c>
      <c r="AB54" s="20" t="e">
        <f>IF(A54&lt;('2. Inputs and results'!$C$21+1),AA54/L54,NA())</f>
        <v>#N/A</v>
      </c>
      <c r="AC54" s="29" t="str">
        <f>IF(A54&lt;('2. Inputs and results'!$C$21+1),AC53+C54+Y54-$V$6," ")</f>
        <v xml:space="preserve"> </v>
      </c>
      <c r="AD54" s="20" t="e">
        <f>IF(A54&lt;('2. Inputs and results'!$C$21+1),AC54/L54,NA())</f>
        <v>#N/A</v>
      </c>
      <c r="AE54" t="str">
        <f>IF(A54&lt;('2. Inputs and results'!$C$21+1),-'2. Inputs and results'!$C$121*A54," ")</f>
        <v xml:space="preserve"> </v>
      </c>
      <c r="AF54" t="e">
        <f>IF(A54&lt;('2. Inputs and results'!$C$21+1),AE54/1000,NA())</f>
        <v>#N/A</v>
      </c>
    </row>
    <row r="55" spans="1:32" x14ac:dyDescent="0.25">
      <c r="A55">
        <f t="shared" si="0"/>
        <v>50</v>
      </c>
      <c r="B55" t="str">
        <f>IF(A55&lt;('2. Inputs and results'!$C$21+1),A55," ")</f>
        <v xml:space="preserve"> </v>
      </c>
      <c r="C55" s="4" t="str">
        <f>IF(A55&lt;('2. Inputs and results'!$C$21+1),'2. Inputs and results'!$C$99+'2. Inputs and results'!$C$101," ")</f>
        <v xml:space="preserve"> </v>
      </c>
      <c r="D55" s="4" t="e">
        <f>IF(A55&lt;('2. Inputs and results'!$C$21+1),D54+C55,NA())</f>
        <v>#N/A</v>
      </c>
      <c r="E55" s="4" t="str">
        <f>IF(A55&lt;('2. Inputs and results'!$C$21+1),C55/((1+$P$2)^A55)," ")</f>
        <v xml:space="preserve"> </v>
      </c>
      <c r="F55" s="4" t="str">
        <f>IF(B55&lt;('2. Inputs and results'!$C$21+1),F54+E55," ")</f>
        <v xml:space="preserve"> </v>
      </c>
      <c r="G55" s="4" t="str">
        <f>IF(A55&lt;('2. Inputs and results'!$C$21+1),G54*(1+'2. Inputs and results'!$C$44)," ")</f>
        <v xml:space="preserve"> </v>
      </c>
      <c r="H55" s="4" t="str">
        <f>IF(A55&lt;('2. Inputs and results'!$C$21+1),H54*(1+'2. Inputs and results'!$C$56)," ")</f>
        <v xml:space="preserve"> </v>
      </c>
      <c r="I55" s="4" t="str">
        <f>IF(A55&lt;('2. Inputs and results'!$C$21+1),I54*(1+'2. Inputs and results'!$C$32)," ")</f>
        <v xml:space="preserve"> </v>
      </c>
      <c r="J55" s="4" t="str">
        <f>IF(A55&lt;('2. Inputs and results'!$C$21+1),J54*(1+'2. Inputs and results'!$C$66)," ")</f>
        <v xml:space="preserve"> </v>
      </c>
      <c r="K55" s="4" t="e">
        <f>IF(A55&lt;('2. Inputs and results'!$C$21+1),K54+(G55+I55+H55+J55),NA())</f>
        <v>#N/A</v>
      </c>
      <c r="L55" s="4" t="e">
        <f>IF(A55&lt;('2. Inputs and results'!$C$21+1),L54,NA())</f>
        <v>#N/A</v>
      </c>
      <c r="M55" s="4" t="str">
        <f>IF(A55&lt;('2. Inputs and results'!$C$21+1),'2. Inputs and results'!$C$75*'2. Inputs and results'!$C$73," ")</f>
        <v xml:space="preserve"> </v>
      </c>
      <c r="N55" s="4" t="str">
        <f>IF(A55&lt;('2. Inputs and results'!$C$21+1),M55/((1+$P$2)^A55)," ")</f>
        <v xml:space="preserve"> </v>
      </c>
      <c r="O55" s="4" t="str">
        <f>IF(A55&lt;('2. Inputs and results'!$C$21+1),'2. Inputs and results'!$C$73*'2. Inputs and results'!$C$75+O54," ")</f>
        <v xml:space="preserve"> </v>
      </c>
      <c r="P55" s="4" t="str">
        <f>IF(A55&lt;('2. Inputs and results'!$C$21+1),(G55+I55+H55+J55)/((1+$P$2)^A55)," ")</f>
        <v xml:space="preserve"> </v>
      </c>
      <c r="Q55" s="4" t="str">
        <f>IF(A55&lt;('2. Inputs and results'!$C$21+1),Q54+P55," ")</f>
        <v xml:space="preserve"> </v>
      </c>
      <c r="R55" s="4" t="e">
        <f>IF(A55&lt;('2. Inputs and results'!$C$21+1),R54+G55+I55+H55+J55+T55-$V$6,NA())</f>
        <v>#N/A</v>
      </c>
      <c r="S55" s="4" t="str">
        <f>IF(A55&lt;('2. Inputs and results'!$C$21+1),'2. Inputs and results'!$C$79*(R54)," ")</f>
        <v xml:space="preserve"> </v>
      </c>
      <c r="T55" s="4">
        <f t="shared" si="1"/>
        <v>0</v>
      </c>
      <c r="U55" s="4" t="e">
        <f>IF(A55&lt;('2. Inputs and results'!$C$21+1),U54+((G55+I55+H55+J55-$V$6+T55)/((1+$P$2)^A55)),NA())</f>
        <v>#N/A</v>
      </c>
      <c r="V55" s="4" t="str">
        <f>IF(A55&lt;('2. Inputs and results'!$C$21+1),V54+('2. Inputs and results'!$C$75*'2. Inputs and results'!$C$73)," ")</f>
        <v xml:space="preserve"> </v>
      </c>
      <c r="W55" s="4" t="e">
        <f>IF(A55&lt;('2. Inputs and results'!$C$21+1),W54+C55+Y55-$V$6,NA())</f>
        <v>#N/A</v>
      </c>
      <c r="X55" s="4" t="str">
        <f>IF(A55&lt;('2. Inputs and results'!$C$21+1),'2. Inputs and results'!$C$79*(W54)," ")</f>
        <v xml:space="preserve"> </v>
      </c>
      <c r="Y55" s="4">
        <f t="shared" si="2"/>
        <v>0</v>
      </c>
      <c r="Z55" s="4" t="e">
        <f>IF(A55&lt;('2. Inputs and results'!$C$21+1),Z54+((C55-$V$6+Y55)/((1+$P$2)^A55)),NA())</f>
        <v>#N/A</v>
      </c>
      <c r="AA55" s="4" t="str">
        <f>IF(A55&lt;('2. Inputs and results'!$C$21+1),AA54+G55+I55+H55+T55-$V$6," ")</f>
        <v xml:space="preserve"> </v>
      </c>
      <c r="AB55" s="20" t="e">
        <f>IF(A55&lt;('2. Inputs and results'!$C$21+1),AA55/L55,NA())</f>
        <v>#N/A</v>
      </c>
      <c r="AC55" s="29" t="str">
        <f>IF(A55&lt;('2. Inputs and results'!$C$21+1),AC54+C55+Y55-$V$6," ")</f>
        <v xml:space="preserve"> </v>
      </c>
      <c r="AD55" s="20" t="e">
        <f>IF(A55&lt;('2. Inputs and results'!$C$21+1),AC55/L55,NA())</f>
        <v>#N/A</v>
      </c>
      <c r="AE55" t="str">
        <f>IF(A55&lt;('2. Inputs and results'!$C$21+1),-'2. Inputs and results'!$C$121*A55," ")</f>
        <v xml:space="preserve"> </v>
      </c>
      <c r="AF55" t="e">
        <f>IF(A55&lt;('2. Inputs and results'!$C$21+1),AE55/1000,NA())</f>
        <v>#N/A</v>
      </c>
    </row>
    <row r="56" spans="1:32" x14ac:dyDescent="0.25">
      <c r="U56" s="4"/>
    </row>
  </sheetData>
  <sheetProtection sheet="1" objects="1" scenarios="1"/>
  <conditionalFormatting sqref="D6:D55">
    <cfRule type="containsText" dxfId="13" priority="3" operator="containsText" text="#PUUTTUU!">
      <formula>NOT(ISERROR(SEARCH("#PUUTTUU!",D6)))</formula>
    </cfRule>
  </conditionalFormatting>
  <conditionalFormatting sqref="A5:AA6 A7:T55 V7:AA55 U7:U56">
    <cfRule type="containsErrors" dxfId="12" priority="2">
      <formula>ISERROR(A5)</formula>
    </cfRule>
  </conditionalFormatting>
  <conditionalFormatting sqref="A5:AF6 A7:T55 V7:AF55 U7:U56">
    <cfRule type="containsErrors" dxfId="11" priority="1">
      <formula>ISERROR(A5)</formula>
    </cfRule>
  </conditionalFormatting>
  <pageMargins left="0.7" right="0.7" top="0.75" bottom="0.75" header="0.3" footer="0.3"/>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60"/>
  <sheetViews>
    <sheetView topLeftCell="G1" workbookViewId="0">
      <selection activeCell="G8" sqref="G8"/>
    </sheetView>
  </sheetViews>
  <sheetFormatPr defaultRowHeight="15" x14ac:dyDescent="0.25"/>
  <cols>
    <col min="1" max="2" width="27.42578125" customWidth="1"/>
    <col min="3" max="3" width="36.5703125" customWidth="1"/>
    <col min="4" max="5" width="34.85546875" customWidth="1"/>
    <col min="6" max="6" width="44.140625" customWidth="1"/>
    <col min="7" max="8" width="24.85546875" customWidth="1"/>
    <col min="9" max="9" width="26.42578125" customWidth="1"/>
    <col min="10" max="10" width="26.42578125" style="39" customWidth="1"/>
    <col min="11" max="11" width="33.28515625" customWidth="1"/>
    <col min="12" max="14" width="17.42578125" customWidth="1"/>
    <col min="15" max="15" width="27.85546875" customWidth="1"/>
    <col min="16" max="16" width="36.140625" customWidth="1"/>
    <col min="17" max="17" width="15" bestFit="1"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x14ac:dyDescent="0.25">
      <c r="K1" s="11"/>
      <c r="P1" s="5"/>
      <c r="R1" s="15" t="s">
        <v>72</v>
      </c>
      <c r="S1" s="15"/>
      <c r="T1" s="15"/>
      <c r="U1" s="15"/>
      <c r="V1" s="15"/>
      <c r="W1" s="15"/>
      <c r="X1" s="15"/>
      <c r="Y1" s="15"/>
      <c r="Z1" s="15"/>
      <c r="AA1" s="15"/>
      <c r="AB1" s="15"/>
      <c r="AC1" s="15"/>
      <c r="AD1" s="15"/>
    </row>
    <row r="2" spans="1:32" x14ac:dyDescent="0.25">
      <c r="O2" s="6" t="s">
        <v>12</v>
      </c>
      <c r="P2" s="14">
        <f>'2. Inputs and results'!B81</f>
        <v>0.04</v>
      </c>
      <c r="R2" s="15"/>
      <c r="S2" s="15"/>
      <c r="T2" s="15"/>
      <c r="U2" s="6"/>
      <c r="V2" s="15"/>
      <c r="W2" s="15"/>
      <c r="X2" s="15"/>
      <c r="Y2" s="15"/>
      <c r="Z2" s="6"/>
      <c r="AA2" s="6"/>
      <c r="AB2" s="6"/>
      <c r="AC2" s="6"/>
      <c r="AD2" s="6"/>
    </row>
    <row r="3" spans="1:32" x14ac:dyDescent="0.25">
      <c r="G3" s="25" t="s">
        <v>134</v>
      </c>
      <c r="H3" s="25"/>
      <c r="I3" s="11"/>
      <c r="J3" s="11"/>
      <c r="K3" s="11"/>
      <c r="R3" s="15"/>
      <c r="S3" s="15"/>
      <c r="T3" s="15"/>
      <c r="U3" s="6" t="s">
        <v>53</v>
      </c>
      <c r="V3" s="15"/>
      <c r="W3" s="15"/>
      <c r="X3" s="15"/>
      <c r="Y3" s="15"/>
      <c r="Z3" t="s">
        <v>65</v>
      </c>
      <c r="AA3" t="s">
        <v>156</v>
      </c>
      <c r="AB3" t="s">
        <v>156</v>
      </c>
      <c r="AC3" t="s">
        <v>156</v>
      </c>
      <c r="AD3" t="s">
        <v>156</v>
      </c>
      <c r="AE3" t="s">
        <v>31</v>
      </c>
    </row>
    <row r="4" spans="1:32" x14ac:dyDescent="0.25">
      <c r="A4" t="s">
        <v>0</v>
      </c>
      <c r="C4" s="6" t="s">
        <v>58</v>
      </c>
      <c r="D4" s="6" t="s">
        <v>27</v>
      </c>
      <c r="E4" s="6" t="s">
        <v>61</v>
      </c>
      <c r="F4" s="6" t="s">
        <v>60</v>
      </c>
      <c r="G4" s="11" t="s">
        <v>29</v>
      </c>
      <c r="H4" s="11" t="s">
        <v>103</v>
      </c>
      <c r="I4" s="11" t="s">
        <v>30</v>
      </c>
      <c r="J4" s="11" t="s">
        <v>155</v>
      </c>
      <c r="K4" t="s">
        <v>50</v>
      </c>
      <c r="L4" t="s">
        <v>57</v>
      </c>
      <c r="M4" t="s">
        <v>34</v>
      </c>
      <c r="N4" t="s">
        <v>45</v>
      </c>
      <c r="O4" t="s">
        <v>14</v>
      </c>
      <c r="P4" t="s">
        <v>51</v>
      </c>
      <c r="Q4" t="s">
        <v>16</v>
      </c>
      <c r="R4" s="15" t="s">
        <v>62</v>
      </c>
      <c r="S4" s="15" t="s">
        <v>35</v>
      </c>
      <c r="T4" s="15" t="s">
        <v>52</v>
      </c>
      <c r="U4" s="15" t="s">
        <v>63</v>
      </c>
      <c r="V4" s="15" t="s">
        <v>37</v>
      </c>
      <c r="W4" s="15" t="s">
        <v>64</v>
      </c>
      <c r="X4" s="15" t="s">
        <v>36</v>
      </c>
      <c r="Y4" s="15" t="s">
        <v>52</v>
      </c>
      <c r="Z4" s="15" t="s">
        <v>41</v>
      </c>
      <c r="AA4" s="15" t="s">
        <v>75</v>
      </c>
      <c r="AB4" s="15" t="s">
        <v>47</v>
      </c>
      <c r="AC4" s="15" t="s">
        <v>74</v>
      </c>
      <c r="AD4" s="15" t="s">
        <v>48</v>
      </c>
      <c r="AE4" t="s">
        <v>33</v>
      </c>
      <c r="AF4" t="s">
        <v>32</v>
      </c>
    </row>
    <row r="5" spans="1:32" x14ac:dyDescent="0.25">
      <c r="A5">
        <v>0</v>
      </c>
      <c r="B5">
        <f>IF(A5&lt;('2. Inputs and results'!$B$21+1),A5," ")</f>
        <v>0</v>
      </c>
      <c r="C5" s="4">
        <v>0</v>
      </c>
      <c r="D5" s="4">
        <f>C5</f>
        <v>0</v>
      </c>
      <c r="E5" s="4">
        <v>0</v>
      </c>
      <c r="F5" s="4"/>
      <c r="G5" s="4">
        <v>0</v>
      </c>
      <c r="H5" s="4">
        <v>0</v>
      </c>
      <c r="I5" s="4">
        <v>0</v>
      </c>
      <c r="J5" s="4"/>
      <c r="K5" s="4">
        <f>G5+I5+H5+J5</f>
        <v>0</v>
      </c>
      <c r="L5" s="4">
        <f>'2. Inputs and results'!B73-('2. Inputs and results'!B77*'2. Inputs and results'!B73)</f>
        <v>156400</v>
      </c>
      <c r="M5" s="4"/>
      <c r="N5" s="4"/>
      <c r="O5" s="4"/>
      <c r="P5" s="4"/>
      <c r="Q5" s="4"/>
      <c r="R5" s="4">
        <f>-L5</f>
        <v>-156400</v>
      </c>
      <c r="S5" s="4"/>
      <c r="T5" s="4"/>
      <c r="U5" s="4">
        <f>R5</f>
        <v>-156400</v>
      </c>
      <c r="V5" s="4"/>
      <c r="W5" s="4">
        <f>-L5</f>
        <v>-156400</v>
      </c>
      <c r="X5" s="4"/>
      <c r="Y5" s="4"/>
      <c r="Z5" s="4">
        <f>W5</f>
        <v>-156400</v>
      </c>
      <c r="AA5" s="4">
        <f>G5+I5+H5+T5-$V$5</f>
        <v>0</v>
      </c>
      <c r="AB5" s="20">
        <f>IF(A5&lt;('2. Inputs and results'!$B$21+1),AA5/L5,NA())</f>
        <v>0</v>
      </c>
      <c r="AC5" s="29">
        <f>(C5+Y5-$V$5)</f>
        <v>0</v>
      </c>
      <c r="AD5" s="20">
        <f>IF(A5&lt;('2. Inputs and results'!$B$21+1),AC5/L5,NA())</f>
        <v>0</v>
      </c>
      <c r="AE5">
        <f>IF(A5&lt;('2. Inputs and results'!$B$21+1),-'2. Inputs and results'!$B$121*A5," ")</f>
        <v>0</v>
      </c>
      <c r="AF5">
        <f>IF(A5&lt;('2. Inputs and results'!$B$21+1),AE5/1000,NA())</f>
        <v>0</v>
      </c>
    </row>
    <row r="6" spans="1:32" x14ac:dyDescent="0.25">
      <c r="A6">
        <f>A5+1</f>
        <v>1</v>
      </c>
      <c r="B6">
        <f>IF(A6&lt;('2. Inputs and results'!$B$21+1),A6," ")</f>
        <v>1</v>
      </c>
      <c r="C6" s="4">
        <f>IF(A6&lt;('2. Inputs and results'!$B$21+1),'2. Inputs and results'!$B$99+'2. Inputs and results'!$B$101," ")</f>
        <v>11460</v>
      </c>
      <c r="D6" s="4">
        <f>C6</f>
        <v>11460</v>
      </c>
      <c r="E6" s="4">
        <f>IF(B6&lt;('2. Inputs and results'!$B$21+1),C6/((1+$P$2)^A6)," ")</f>
        <v>11019.23076923077</v>
      </c>
      <c r="F6" s="4">
        <f>E6</f>
        <v>11019.23076923077</v>
      </c>
      <c r="G6" s="4">
        <f>'2. Inputs and results'!B93</f>
        <v>11700</v>
      </c>
      <c r="H6" s="4">
        <f>'2. Inputs and results'!B97</f>
        <v>0</v>
      </c>
      <c r="I6" s="4">
        <f>'2. Inputs and results'!B95</f>
        <v>-240</v>
      </c>
      <c r="J6" s="4">
        <f>'2. Inputs and results'!B101</f>
        <v>0</v>
      </c>
      <c r="K6" s="4">
        <f>G6+I6+H6+J6</f>
        <v>11460</v>
      </c>
      <c r="L6" s="4">
        <f>'2. Inputs and results'!B73-('2. Inputs and results'!B77*'2. Inputs and results'!B73)</f>
        <v>156400</v>
      </c>
      <c r="M6" s="4">
        <f>IF(A6&lt;('2. Inputs and results'!$B$21+1),'2. Inputs and results'!$B$75*'2. Inputs and results'!$B$73," ")</f>
        <v>1840</v>
      </c>
      <c r="N6" s="4">
        <f>IF(A6&lt;('2. Inputs and results'!$B$21+1),M6/((1+$P$2)^A6)," ")</f>
        <v>1769.2307692307693</v>
      </c>
      <c r="O6" s="4">
        <f>L6</f>
        <v>156400</v>
      </c>
      <c r="P6" s="4">
        <f>IF(A6&lt;('2. Inputs and results'!$B$21+1),(G6+I6+H6+J6)/((1+$P$2)^A6)," ")</f>
        <v>11019.23076923077</v>
      </c>
      <c r="Q6" s="4">
        <f>P6</f>
        <v>11019.23076923077</v>
      </c>
      <c r="R6" s="4">
        <f>-L6+G6+I6+H6+J6+T6-$V$6</f>
        <v>-149908</v>
      </c>
      <c r="S6" s="4">
        <f>IF(A6&lt;('2. Inputs and results'!$B$21+1),'2. Inputs and results'!$B$79*(R5)," ")</f>
        <v>-3128</v>
      </c>
      <c r="T6" s="4">
        <f>IF(S6&lt;0,S6,0)</f>
        <v>-3128</v>
      </c>
      <c r="U6" s="4">
        <f>IF(A6&lt;('2. Inputs and results'!$B$21+1),U5+(T6+I6+G6+H6+J6-$V$6)/((1+$P$2)^A6),NA())</f>
        <v>-150157.69230769231</v>
      </c>
      <c r="V6" s="4">
        <f>'2. Inputs and results'!$B$75*'2. Inputs and results'!$B$73</f>
        <v>1840</v>
      </c>
      <c r="W6" s="4">
        <f>-L6+C6+Y6-$V$6</f>
        <v>-149908</v>
      </c>
      <c r="X6" s="4">
        <f>IF(A6&lt;('2. Inputs and results'!$B$21+1),'2. Inputs and results'!$B$79*W5," ")</f>
        <v>-3128</v>
      </c>
      <c r="Y6" s="4">
        <f>IF(X6&lt;0,X6,0)</f>
        <v>-3128</v>
      </c>
      <c r="Z6" s="4">
        <f>IF(A6&lt;('2. Inputs and results'!$B$21+1),Z5+(C6-$V$6+Y6)/((1+$P$2)^A6),NA())</f>
        <v>-150157.69230769231</v>
      </c>
      <c r="AA6" s="4">
        <f>IF(A6&lt;('2. Inputs and results'!$B$21+1),AA5+(G6+I6+H6+T6-$V$6)," ")</f>
        <v>6492</v>
      </c>
      <c r="AB6" s="20">
        <f>IF(A6&lt;('2. Inputs and results'!$B$21+1),AA6/L6,NA())</f>
        <v>4.1508951406649619E-2</v>
      </c>
      <c r="AC6" s="29">
        <f>IF(A6&lt;('2. Inputs and results'!$B$21+1),AC5+(C6+Y6-$V$6)," ")</f>
        <v>6492</v>
      </c>
      <c r="AD6" s="20">
        <f>IF(A6&lt;('2. Inputs and results'!$B$21+1),AC6/L6,NA())</f>
        <v>4.1508951406649619E-2</v>
      </c>
      <c r="AE6">
        <f>IF(A6&lt;('2. Inputs and results'!$B$21+1),-'2. Inputs and results'!$B$121*A6," ")</f>
        <v>-20400</v>
      </c>
      <c r="AF6">
        <f>IF(A6&lt;('2. Inputs and results'!$B$21+1),AE6/1000,NA())</f>
        <v>-20.399999999999999</v>
      </c>
    </row>
    <row r="7" spans="1:32" x14ac:dyDescent="0.25">
      <c r="A7">
        <f t="shared" ref="A7:A55" si="0">A6+1</f>
        <v>2</v>
      </c>
      <c r="B7">
        <f>IF(A7&lt;('2. Inputs and results'!$B$21+1),A7," ")</f>
        <v>2</v>
      </c>
      <c r="C7" s="4">
        <f>IF(A7&lt;('2. Inputs and results'!$B$21+1),'2. Inputs and results'!$B$99+'2. Inputs and results'!$B$101," ")</f>
        <v>11460</v>
      </c>
      <c r="D7" s="4">
        <f>IF(A7&lt;('2. Inputs and results'!$B$21+1),D6+C7," ")</f>
        <v>22920</v>
      </c>
      <c r="E7" s="4">
        <f>IF(B7&lt;('2. Inputs and results'!$B$21+1),C7/((1+$P$2)^A7)," ")</f>
        <v>10595.41420118343</v>
      </c>
      <c r="F7" s="4">
        <f>IF(A7&lt;('2. Inputs and results'!$B$21+1),F6+E7," ")</f>
        <v>21614.6449704142</v>
      </c>
      <c r="G7" s="4">
        <f>IF(A7&lt;('2. Inputs and results'!$B$21+1),G6*(1+'2. Inputs and results'!$B$46)," ")</f>
        <v>12402</v>
      </c>
      <c r="H7" s="4">
        <f>IF(A7&lt;('2. Inputs and results'!$B$21+1),H6*(1+'2. Inputs and results'!$B$58)," ")</f>
        <v>0</v>
      </c>
      <c r="I7" s="4">
        <f>IF(A7&lt;('2. Inputs and results'!$B$21+1),I6*(1+'2. Inputs and results'!$B$34)," ")</f>
        <v>-254.4</v>
      </c>
      <c r="J7" s="4">
        <f>IF(A7&lt;('2. Inputs and results'!$B$21+1),J6*(1+'2. Inputs and results'!$B$68)," ")</f>
        <v>0</v>
      </c>
      <c r="K7" s="4">
        <f>IF('Solution 1, (hidden) (2)'!A7&lt;('2. Inputs and results'!$B$21+1),K6+(G7+I7+H7+J7),NA())</f>
        <v>23607.599999999999</v>
      </c>
      <c r="L7" s="4">
        <f>IF(A7&lt;('2. Inputs and results'!$B$21+1),L6,NA())</f>
        <v>156400</v>
      </c>
      <c r="M7" s="4">
        <f>IF(A7&lt;('2. Inputs and results'!$B$21+1),'2. Inputs and results'!$B$75*'2. Inputs and results'!$B$73," ")</f>
        <v>1840</v>
      </c>
      <c r="N7" s="4">
        <f>IF(A7&lt;('2. Inputs and results'!$B$21+1),M7/((1+$P$2)^A7)," ")</f>
        <v>1701.1834319526624</v>
      </c>
      <c r="O7" s="4">
        <f>IF(A7&lt;('2. Inputs and results'!$B$21+1),'2. Inputs and results'!$B$73*'2. Inputs and results'!$B$75+O6," ")</f>
        <v>158240</v>
      </c>
      <c r="P7" s="4">
        <f>IF(A7&lt;('2. Inputs and results'!$B$21+1),(G7+I7+H7+J7)/((1+$P$2)^A7)," ")</f>
        <v>11231.139053254437</v>
      </c>
      <c r="Q7" s="4">
        <f>IF(A7&lt;('2. Inputs and results'!$B$21+1),Q6+P7," ")</f>
        <v>22250.369822485205</v>
      </c>
      <c r="R7" s="4">
        <f>IF(A7&lt;('2. Inputs and results'!$B$21+1),R6+G7+I7+H7+J7+T7-$V$6,NA())</f>
        <v>-142598.56</v>
      </c>
      <c r="S7" s="4">
        <f>IF(A7&lt;('2. Inputs and results'!$B$21+1),'2. Inputs and results'!$B$79*(R6)," ")</f>
        <v>-2998.16</v>
      </c>
      <c r="T7" s="4">
        <f t="shared" ref="T7:T55" si="1">IF(S7&lt;0,S7,0)</f>
        <v>-2998.16</v>
      </c>
      <c r="U7" s="4">
        <f>IF(A7&lt;('2. Inputs and results'!$B$21+1),U6+(T7+I7+G7+H7+J7-$V$6)/((1+$P$2)^A7),NA())</f>
        <v>-143399.70414201185</v>
      </c>
      <c r="V7" s="4">
        <f>IF(A7&lt;('2. Inputs and results'!$B$21+1),V6+('2. Inputs and results'!$B$75*'2. Inputs and results'!$B$73)," ")</f>
        <v>3680</v>
      </c>
      <c r="W7" s="4">
        <f>IF(A7&lt;('2. Inputs and results'!$B$21+1),W6+C7+Y7-$V$6,NA())</f>
        <v>-143286.16</v>
      </c>
      <c r="X7" s="4">
        <f>IF(A7&lt;('2. Inputs and results'!$B$21+1),'2. Inputs and results'!$B$79*W6," ")</f>
        <v>-2998.16</v>
      </c>
      <c r="Y7" s="4">
        <f t="shared" ref="Y7:Y55" si="2">IF(X7&lt;0,X7,0)</f>
        <v>-2998.16</v>
      </c>
      <c r="Z7" s="4">
        <f>IF(A7&lt;('2. Inputs and results'!$B$21+1),Z6+(C7-$V$6+Y7)/((1+$P$2)^A7),NA())</f>
        <v>-144035.42899408285</v>
      </c>
      <c r="AA7" s="4">
        <f>IF(A7&lt;('2. Inputs and results'!$B$21+1),AA6+(G7+I7+H7+T7-$V$6)," ")</f>
        <v>13801.44</v>
      </c>
      <c r="AB7" s="20">
        <f>IF(A7&lt;('2. Inputs and results'!$B$21+1),AA7/L7,NA())</f>
        <v>8.8244501278772383E-2</v>
      </c>
      <c r="AC7" s="29">
        <f>IF(A7&lt;('2. Inputs and results'!$B$21+1),AC6+(C7+Y7-$V$6)," ")</f>
        <v>13113.84</v>
      </c>
      <c r="AD7" s="20">
        <f>IF(A7&lt;('2. Inputs and results'!$B$21+1),AC7/L7,NA())</f>
        <v>8.384808184143222E-2</v>
      </c>
      <c r="AE7">
        <f>IF(A7&lt;('2. Inputs and results'!$B$21+1),-'2. Inputs and results'!$B$121*A7," ")</f>
        <v>-40800</v>
      </c>
      <c r="AF7">
        <f>IF(A7&lt;('2. Inputs and results'!$B$21+1),AE7/1000,NA())</f>
        <v>-40.799999999999997</v>
      </c>
    </row>
    <row r="8" spans="1:32" x14ac:dyDescent="0.25">
      <c r="A8">
        <f t="shared" si="0"/>
        <v>3</v>
      </c>
      <c r="B8">
        <f>IF(A8&lt;('2. Inputs and results'!$B$21+1),A8," ")</f>
        <v>3</v>
      </c>
      <c r="C8" s="4">
        <f>IF(A8&lt;('2. Inputs and results'!$B$21+1),'2. Inputs and results'!$B$99+'2. Inputs and results'!$B$101," ")</f>
        <v>11460</v>
      </c>
      <c r="D8" s="4">
        <f>IF(A8&lt;('2. Inputs and results'!$B$21+1),D7+C8,NA())</f>
        <v>34380</v>
      </c>
      <c r="E8" s="4">
        <f>IF(B8&lt;('2. Inputs and results'!$B$21+1),C8/((1+$P$2)^A8)," ")</f>
        <v>10187.898270368683</v>
      </c>
      <c r="F8" s="4">
        <f>IF(A8&lt;('2. Inputs and results'!$B$21+1),F7+E8," ")</f>
        <v>31802.543240782885</v>
      </c>
      <c r="G8" s="4">
        <f>IF(A8&lt;('2. Inputs and results'!$B$21+1),G7*(1+'2. Inputs and results'!$B$46)," ")</f>
        <v>13146.12</v>
      </c>
      <c r="H8" s="4">
        <f>IF(A8&lt;('2. Inputs and results'!$B$21+1),H7*(1+'2. Inputs and results'!$B$58)," ")</f>
        <v>0</v>
      </c>
      <c r="I8" s="4">
        <f>IF(A8&lt;('2. Inputs and results'!$B$21+1),I7*(1+'2. Inputs and results'!$B$34)," ")</f>
        <v>-269.66400000000004</v>
      </c>
      <c r="J8" s="4">
        <f>IF(A8&lt;('2. Inputs and results'!$B$21+1),J7*(1+'2. Inputs and results'!$B$68)," ")</f>
        <v>0</v>
      </c>
      <c r="K8" s="4">
        <f>IF('Solution 1, (hidden) (2)'!A8&lt;('2. Inputs and results'!$B$21+1),K7+(G8+I8+H8+J8),NA())</f>
        <v>36484.055999999997</v>
      </c>
      <c r="L8" s="4">
        <f>IF(A8&lt;('2. Inputs and results'!$B$21+1),L7,NA())</f>
        <v>156400</v>
      </c>
      <c r="M8" s="4">
        <f>IF(A8&lt;('2. Inputs and results'!$B$21+1),'2. Inputs and results'!$B$75*'2. Inputs and results'!$B$73," ")</f>
        <v>1840</v>
      </c>
      <c r="N8" s="4">
        <f>IF(A8&lt;('2. Inputs and results'!$B$21+1),M8/((1+$P$2)^A8)," ")</f>
        <v>1635.7532999544833</v>
      </c>
      <c r="O8" s="4">
        <f>IF(A8&lt;('2. Inputs and results'!$B$21+1),'2. Inputs and results'!$B$73*'2. Inputs and results'!$B$75+O7," ")</f>
        <v>160080</v>
      </c>
      <c r="P8" s="4">
        <f>IF(A8&lt;('2. Inputs and results'!$B$21+1),(G8+I8+H8+J8)/((1+$P$2)^A8)," ")</f>
        <v>11447.122496586253</v>
      </c>
      <c r="Q8" s="4">
        <f>IF(A8&lt;('2. Inputs and results'!$B$21+1),Q7+P8," ")</f>
        <v>33697.492319071462</v>
      </c>
      <c r="R8" s="4">
        <f>IF(A8&lt;('2. Inputs and results'!$B$21+1),R7+G8+I8+H8+J8+T8-$V$6,NA())</f>
        <v>-134414.07520000002</v>
      </c>
      <c r="S8" s="4">
        <f>IF(A8&lt;('2. Inputs and results'!$B$21+1),'2. Inputs and results'!$B$79*(R7)," ")</f>
        <v>-2851.9712</v>
      </c>
      <c r="T8" s="4">
        <f t="shared" si="1"/>
        <v>-2851.9712</v>
      </c>
      <c r="U8" s="4">
        <f>IF(A8&lt;('2. Inputs and results'!$B$21+1),U7+(T8+I8+G8+H8+J8-$V$6)/((1+$P$2)^A8),NA())</f>
        <v>-136123.72695721439</v>
      </c>
      <c r="V8" s="4">
        <f>IF(A8&lt;('2. Inputs and results'!$B$21+1),V7+('2. Inputs and results'!$B$75*'2. Inputs and results'!$B$73)," ")</f>
        <v>5520</v>
      </c>
      <c r="W8" s="4">
        <f>IF(A8&lt;('2. Inputs and results'!$B$21+1),W7+C8+Y8-$V$6,NA())</f>
        <v>-136531.88320000001</v>
      </c>
      <c r="X8" s="4">
        <f>IF(A8&lt;('2. Inputs and results'!$B$21+1),'2. Inputs and results'!$B$79*W7," ")</f>
        <v>-2865.7231999999999</v>
      </c>
      <c r="Y8" s="4">
        <f t="shared" si="2"/>
        <v>-2865.7231999999999</v>
      </c>
      <c r="Z8" s="4">
        <f>IF(A8&lt;('2. Inputs and results'!$B$21+1),Z7+(C8-$V$6+Y8)/((1+$P$2)^A8),NA())</f>
        <v>-138030.90151342741</v>
      </c>
      <c r="AA8" s="4">
        <f>IF(A8&lt;('2. Inputs and results'!$B$21+1),AA7+(G8+I8+H8+T8-$V$6)," ")</f>
        <v>21985.924800000001</v>
      </c>
      <c r="AB8" s="20">
        <f>IF(A8&lt;('2. Inputs and results'!$B$21+1),AA8/L8,NA())</f>
        <v>0.14057496675191816</v>
      </c>
      <c r="AC8" s="29">
        <f>IF(A8&lt;('2. Inputs and results'!$B$21+1),AC7+(C8+Y8-$V$6)," ")</f>
        <v>19868.1168</v>
      </c>
      <c r="AD8" s="20">
        <f>IF(A8&lt;('2. Inputs and results'!$B$21+1),AC8/L8,NA())</f>
        <v>0.12703399488491049</v>
      </c>
      <c r="AE8">
        <f>IF(A8&lt;('2. Inputs and results'!$B$21+1),-'2. Inputs and results'!$B$121*A8," ")</f>
        <v>-61200</v>
      </c>
      <c r="AF8">
        <f>IF(A8&lt;('2. Inputs and results'!$B$21+1),AE8/1000,NA())</f>
        <v>-61.2</v>
      </c>
    </row>
    <row r="9" spans="1:32" x14ac:dyDescent="0.25">
      <c r="A9">
        <f t="shared" si="0"/>
        <v>4</v>
      </c>
      <c r="B9">
        <f>IF(A9&lt;('2. Inputs and results'!$B$21+1),A9," ")</f>
        <v>4</v>
      </c>
      <c r="C9" s="4">
        <f>IF(A9&lt;('2. Inputs and results'!$B$21+1),'2. Inputs and results'!$B$99+'2. Inputs and results'!$B$101," ")</f>
        <v>11460</v>
      </c>
      <c r="D9" s="4">
        <f>IF(A9&lt;('2. Inputs and results'!$B$21+1),D8+C9,NA())</f>
        <v>45840</v>
      </c>
      <c r="E9" s="4">
        <f>IF(B9&lt;('2. Inputs and results'!$B$21+1),C9/((1+$P$2)^A9)," ")</f>
        <v>9796.0560292006558</v>
      </c>
      <c r="F9" s="4">
        <f>IF(A9&lt;('2. Inputs and results'!$B$21+1),F8+E9," ")</f>
        <v>41598.599269983541</v>
      </c>
      <c r="G9" s="4">
        <f>IF(A9&lt;('2. Inputs and results'!$B$21+1),G8*(1+'2. Inputs and results'!$B$46)," ")</f>
        <v>13934.887200000001</v>
      </c>
      <c r="H9" s="4">
        <f>IF(A9&lt;('2. Inputs and results'!$B$21+1),H8*(1+'2. Inputs and results'!$B$58)," ")</f>
        <v>0</v>
      </c>
      <c r="I9" s="4">
        <f>IF(A9&lt;('2. Inputs and results'!$B$21+1),I8*(1+'2. Inputs and results'!$B$34)," ")</f>
        <v>-285.84384000000006</v>
      </c>
      <c r="J9" s="4">
        <f>IF(A9&lt;('2. Inputs and results'!$B$21+1),J8*(1+'2. Inputs and results'!$B$68)," ")</f>
        <v>0</v>
      </c>
      <c r="K9" s="4">
        <f>IF('Solution 1, (hidden) (2)'!A9&lt;('2. Inputs and results'!$B$21+1),K8+(G9+I9+H9+J9),NA())</f>
        <v>50133.09936</v>
      </c>
      <c r="L9" s="4">
        <f>IF(A9&lt;('2. Inputs and results'!$B$21+1),L8,NA())</f>
        <v>156400</v>
      </c>
      <c r="M9" s="4">
        <f>IF(A9&lt;('2. Inputs and results'!$B$21+1),'2. Inputs and results'!$B$75*'2. Inputs and results'!$B$73," ")</f>
        <v>1840</v>
      </c>
      <c r="N9" s="4">
        <f>IF(A9&lt;('2. Inputs and results'!$B$21+1),M9/((1+$P$2)^A9)," ")</f>
        <v>1572.8397114946952</v>
      </c>
      <c r="O9" s="4">
        <f>IF(A9&lt;('2. Inputs and results'!$B$21+1),'2. Inputs and results'!$B$73*'2. Inputs and results'!$B$75+O8," ")</f>
        <v>161920</v>
      </c>
      <c r="P9" s="4">
        <f>IF(A9&lt;('2. Inputs and results'!$B$21+1),(G9+I9+H9+J9)/((1+$P$2)^A9)," ")</f>
        <v>11667.25946767445</v>
      </c>
      <c r="Q9" s="4">
        <f>IF(A9&lt;('2. Inputs and results'!$B$21+1),Q8+P9," ")</f>
        <v>45364.75178674591</v>
      </c>
      <c r="R9" s="4">
        <f>IF(A9&lt;('2. Inputs and results'!$B$21+1),R8+G9+I9+H9+J9+T9-$V$6,NA())</f>
        <v>-125293.31334400002</v>
      </c>
      <c r="S9" s="4">
        <f>IF(A9&lt;('2. Inputs and results'!$B$21+1),'2. Inputs and results'!$B$79*(R8)," ")</f>
        <v>-2688.2815040000005</v>
      </c>
      <c r="T9" s="4">
        <f t="shared" si="1"/>
        <v>-2688.2815040000005</v>
      </c>
      <c r="U9" s="4">
        <f>IF(A9&lt;('2. Inputs and results'!$B$21+1),U8+(T9+I9+G9+H9+J9-$V$6)/((1+$P$2)^A9),NA())</f>
        <v>-128327.26149732152</v>
      </c>
      <c r="V9" s="4">
        <f>IF(A9&lt;('2. Inputs and results'!$B$21+1),V8+('2. Inputs and results'!$B$75*'2. Inputs and results'!$B$73)," ")</f>
        <v>7360</v>
      </c>
      <c r="W9" s="4">
        <f>IF(A9&lt;('2. Inputs and results'!$B$21+1),W8+C9+Y9-$V$6,NA())</f>
        <v>-129642.52086400001</v>
      </c>
      <c r="X9" s="4">
        <f>IF(A9&lt;('2. Inputs and results'!$B$21+1),'2. Inputs and results'!$B$79*W8," ")</f>
        <v>-2730.6376640000003</v>
      </c>
      <c r="Y9" s="4">
        <f t="shared" si="2"/>
        <v>-2730.6376640000003</v>
      </c>
      <c r="Z9" s="4">
        <f>IF(A9&lt;('2. Inputs and results'!$B$21+1),Z8+(C9-$V$6+Y9)/((1+$P$2)^A9),NA())</f>
        <v>-132141.84571509226</v>
      </c>
      <c r="AA9" s="4">
        <f>IF(A9&lt;('2. Inputs and results'!$B$21+1),AA8+(G9+I9+H9+T9-$V$6)," ")</f>
        <v>31106.686656000002</v>
      </c>
      <c r="AB9" s="20">
        <f>IF(A9&lt;('2. Inputs and results'!$B$21+1),AA9/L9,NA())</f>
        <v>0.19889185841432225</v>
      </c>
      <c r="AC9" s="29">
        <f>IF(A9&lt;('2. Inputs and results'!$B$21+1),AC8+(C9+Y9-$V$6)," ")</f>
        <v>26757.479136000002</v>
      </c>
      <c r="AD9" s="20">
        <f>IF(A9&lt;('2. Inputs and results'!$B$21+1),AC9/L9,NA())</f>
        <v>0.17108362618925832</v>
      </c>
      <c r="AE9">
        <f>IF(A9&lt;('2. Inputs and results'!$B$21+1),-'2. Inputs and results'!$B$121*A9," ")</f>
        <v>-81600</v>
      </c>
      <c r="AF9">
        <f>IF(A9&lt;('2. Inputs and results'!$B$21+1),AE9/1000,NA())</f>
        <v>-81.599999999999994</v>
      </c>
    </row>
    <row r="10" spans="1:32" x14ac:dyDescent="0.25">
      <c r="A10">
        <f t="shared" si="0"/>
        <v>5</v>
      </c>
      <c r="B10">
        <f>IF(A10&lt;('2. Inputs and results'!$B$21+1),A10," ")</f>
        <v>5</v>
      </c>
      <c r="C10" s="4">
        <f>IF(A10&lt;('2. Inputs and results'!$B$21+1),'2. Inputs and results'!$B$99+'2. Inputs and results'!$B$101," ")</f>
        <v>11460</v>
      </c>
      <c r="D10" s="4">
        <f>IF(A10&lt;('2. Inputs and results'!$B$21+1),D9+C10,NA())</f>
        <v>57300</v>
      </c>
      <c r="E10" s="4">
        <f>IF(B10&lt;('2. Inputs and results'!$B$21+1),C10/((1+$P$2)^A10)," ")</f>
        <v>9419.2846434621679</v>
      </c>
      <c r="F10" s="4">
        <f>IF(A10&lt;('2. Inputs and results'!$B$21+1),F9+E10," ")</f>
        <v>51017.883913445708</v>
      </c>
      <c r="G10" s="4">
        <f>IF(A10&lt;('2. Inputs and results'!$B$21+1),G9*(1+'2. Inputs and results'!$B$46)," ")</f>
        <v>14770.980432000002</v>
      </c>
      <c r="H10" s="4">
        <f>IF(A10&lt;('2. Inputs and results'!$B$21+1),H9*(1+'2. Inputs and results'!$B$58)," ")</f>
        <v>0</v>
      </c>
      <c r="I10" s="4">
        <f>IF(A10&lt;('2. Inputs and results'!$B$21+1),I9*(1+'2. Inputs and results'!$B$34)," ")</f>
        <v>-302.99447040000007</v>
      </c>
      <c r="J10" s="4">
        <f>IF(A10&lt;('2. Inputs and results'!$B$21+1),J9*(1+'2. Inputs and results'!$B$68)," ")</f>
        <v>0</v>
      </c>
      <c r="K10" s="4">
        <f>IF('Solution 1, (hidden) (2)'!A10&lt;('2. Inputs and results'!$B$21+1),K9+(G10+I10+H10+J10),NA())</f>
        <v>64601.085321600003</v>
      </c>
      <c r="L10" s="4">
        <f>IF(A10&lt;('2. Inputs and results'!$B$21+1),L9,NA())</f>
        <v>156400</v>
      </c>
      <c r="M10" s="4">
        <f>IF(A10&lt;('2. Inputs and results'!$B$21+1),'2. Inputs and results'!$B$75*'2. Inputs and results'!$B$73," ")</f>
        <v>1840</v>
      </c>
      <c r="N10" s="4">
        <f>IF(A10&lt;('2. Inputs and results'!$B$21+1),M10/((1+$P$2)^A10)," ")</f>
        <v>1512.3458764372069</v>
      </c>
      <c r="O10" s="4">
        <f>IF(A10&lt;('2. Inputs and results'!$B$21+1),'2. Inputs and results'!$B$73*'2. Inputs and results'!$B$75+O9," ")</f>
        <v>163760</v>
      </c>
      <c r="P10" s="4">
        <f>IF(A10&lt;('2. Inputs and results'!$B$21+1),(G10+I10+H10+J10)/((1+$P$2)^A10)," ")</f>
        <v>11891.629842052804</v>
      </c>
      <c r="Q10" s="4">
        <f>IF(A10&lt;('2. Inputs and results'!$B$21+1),Q9+P10," ")</f>
        <v>57256.381628798714</v>
      </c>
      <c r="R10" s="4">
        <f>IF(A10&lt;('2. Inputs and results'!$B$21+1),R9+G10+I10+H10+J10+T10-$V$6,NA())</f>
        <v>-115171.19364928002</v>
      </c>
      <c r="S10" s="4">
        <f>IF(A10&lt;('2. Inputs and results'!$B$21+1),'2. Inputs and results'!$B$79*(R9)," ")</f>
        <v>-2505.8662668800007</v>
      </c>
      <c r="T10" s="4">
        <f t="shared" si="1"/>
        <v>-2505.8662668800007</v>
      </c>
      <c r="U10" s="4">
        <f>IF(A10&lt;('2. Inputs and results'!$B$21+1),U9+(T10+I10+G10+H10+J10-$V$6)/((1+$P$2)^A10),NA())</f>
        <v>-120007.61694236846</v>
      </c>
      <c r="V10" s="4">
        <f>IF(A10&lt;('2. Inputs and results'!$B$21+1),V9+('2. Inputs and results'!$B$75*'2. Inputs and results'!$B$73)," ")</f>
        <v>9200</v>
      </c>
      <c r="W10" s="4">
        <f>IF(A10&lt;('2. Inputs and results'!$B$21+1),W9+C10+Y10-$V$6,NA())</f>
        <v>-122615.37128128001</v>
      </c>
      <c r="X10" s="4">
        <f>IF(A10&lt;('2. Inputs and results'!$B$21+1),'2. Inputs and results'!$B$79*W9," ")</f>
        <v>-2592.8504172800003</v>
      </c>
      <c r="Y10" s="4">
        <f t="shared" si="2"/>
        <v>-2592.8504172800003</v>
      </c>
      <c r="Z10" s="4">
        <f>IF(A10&lt;('2. Inputs and results'!$B$21+1),Z9+(C10-$V$6+Y10)/((1+$P$2)^A10),NA())</f>
        <v>-126366.04098980203</v>
      </c>
      <c r="AA10" s="4">
        <f>IF(A10&lt;('2. Inputs and results'!$B$21+1),AA9+(G10+I10+H10+T10-$V$6)," ")</f>
        <v>41228.806350719999</v>
      </c>
      <c r="AB10" s="20">
        <f>IF(A10&lt;('2. Inputs and results'!$B$21+1),AA10/L10,NA())</f>
        <v>0.26361129380255754</v>
      </c>
      <c r="AC10" s="29">
        <f>IF(A10&lt;('2. Inputs and results'!$B$21+1),AC9+(C10+Y10-$V$6)," ")</f>
        <v>33784.62871872</v>
      </c>
      <c r="AD10" s="20">
        <f>IF(A10&lt;('2. Inputs and results'!$B$21+1),AC10/L10,NA())</f>
        <v>0.21601425011969308</v>
      </c>
      <c r="AE10">
        <f>IF(A10&lt;('2. Inputs and results'!$B$21+1),-'2. Inputs and results'!$B$121*A10," ")</f>
        <v>-102000</v>
      </c>
      <c r="AF10">
        <f>IF(A10&lt;('2. Inputs and results'!$B$21+1),AE10/1000,NA())</f>
        <v>-102</v>
      </c>
    </row>
    <row r="11" spans="1:32" x14ac:dyDescent="0.25">
      <c r="A11">
        <f t="shared" si="0"/>
        <v>6</v>
      </c>
      <c r="B11">
        <f>IF(A11&lt;('2. Inputs and results'!$B$21+1),A11," ")</f>
        <v>6</v>
      </c>
      <c r="C11" s="4">
        <f>IF(A11&lt;('2. Inputs and results'!$B$21+1),'2. Inputs and results'!$B$99+'2. Inputs and results'!$B$101," ")</f>
        <v>11460</v>
      </c>
      <c r="D11" s="4">
        <f>IF(A11&lt;('2. Inputs and results'!$B$21+1),D10+C11,NA())</f>
        <v>68760</v>
      </c>
      <c r="E11" s="4">
        <f>IF(B11&lt;('2. Inputs and results'!$B$21+1),C11/((1+$P$2)^A11)," ")</f>
        <v>9057.0044648674702</v>
      </c>
      <c r="F11" s="4">
        <f>IF(A11&lt;('2. Inputs and results'!$B$21+1),F10+E11," ")</f>
        <v>60074.888378313175</v>
      </c>
      <c r="G11" s="4">
        <f>IF(A11&lt;('2. Inputs and results'!$B$21+1),G10*(1+'2. Inputs and results'!$B$46)," ")</f>
        <v>15657.239257920002</v>
      </c>
      <c r="H11" s="4">
        <f>IF(A11&lt;('2. Inputs and results'!$B$21+1),H10*(1+'2. Inputs and results'!$B$58)," ")</f>
        <v>0</v>
      </c>
      <c r="I11" s="4">
        <f>IF(A11&lt;('2. Inputs and results'!$B$21+1),I10*(1+'2. Inputs and results'!$B$34)," ")</f>
        <v>-321.17413862400008</v>
      </c>
      <c r="J11" s="4">
        <f>IF(A11&lt;('2. Inputs and results'!$B$21+1),J10*(1+'2. Inputs and results'!$B$68)," ")</f>
        <v>0</v>
      </c>
      <c r="K11" s="4">
        <f>IF('Solution 1, (hidden) (2)'!A11&lt;('2. Inputs and results'!$B$21+1),K10+(G11+I11+H11+J11),NA())</f>
        <v>79937.150440896003</v>
      </c>
      <c r="L11" s="4">
        <f>IF(A11&lt;('2. Inputs and results'!$B$21+1),L10,NA())</f>
        <v>156400</v>
      </c>
      <c r="M11" s="4">
        <f>IF(A11&lt;('2. Inputs and results'!$B$21+1),'2. Inputs and results'!$B$75*'2. Inputs and results'!$B$73," ")</f>
        <v>1840</v>
      </c>
      <c r="N11" s="4">
        <f>IF(A11&lt;('2. Inputs and results'!$B$21+1),M11/((1+$P$2)^A11)," ")</f>
        <v>1454.1787273434682</v>
      </c>
      <c r="O11" s="4">
        <f>IF(A11&lt;('2. Inputs and results'!$B$21+1),'2. Inputs and results'!$B$73*'2. Inputs and results'!$B$75+O10," ")</f>
        <v>165600</v>
      </c>
      <c r="P11" s="4">
        <f>IF(A11&lt;('2. Inputs and results'!$B$21+1),(G11+I11+H11+J11)/((1+$P$2)^A11)," ")</f>
        <v>12120.315031323051</v>
      </c>
      <c r="Q11" s="4">
        <f>IF(A11&lt;('2. Inputs and results'!$B$21+1),Q10+P11," ")</f>
        <v>69376.696660121757</v>
      </c>
      <c r="R11" s="4">
        <f>IF(A11&lt;('2. Inputs and results'!$B$21+1),R10+G11+I11+H11+J11+T11-$V$6,NA())</f>
        <v>-103978.55240296962</v>
      </c>
      <c r="S11" s="4">
        <f>IF(A11&lt;('2. Inputs and results'!$B$21+1),'2. Inputs and results'!$B$79*(R10)," ")</f>
        <v>-2303.4238729856002</v>
      </c>
      <c r="T11" s="4">
        <f t="shared" si="1"/>
        <v>-2303.4238729856002</v>
      </c>
      <c r="U11" s="4">
        <f>IF(A11&lt;('2. Inputs and results'!$B$21+1),U10+(T11+I11+G11+H11+J11-$V$6)/((1+$P$2)^A11),NA())</f>
        <v>-111161.90998412299</v>
      </c>
      <c r="V11" s="4">
        <f>IF(A11&lt;('2. Inputs and results'!$B$21+1),V10+('2. Inputs and results'!$B$75*'2. Inputs and results'!$B$73)," ")</f>
        <v>11040</v>
      </c>
      <c r="W11" s="4">
        <f>IF(A11&lt;('2. Inputs and results'!$B$21+1),W10+C11+Y11-$V$6,NA())</f>
        <v>-115447.6787069056</v>
      </c>
      <c r="X11" s="4">
        <f>IF(A11&lt;('2. Inputs and results'!$B$21+1),'2. Inputs and results'!$B$79*W10," ")</f>
        <v>-2452.3074256256</v>
      </c>
      <c r="Y11" s="4">
        <f t="shared" si="2"/>
        <v>-2452.3074256256</v>
      </c>
      <c r="Z11" s="4">
        <f>IF(A11&lt;('2. Inputs and results'!$B$21+1),Z10+(C11-$V$6+Y11)/((1+$P$2)^A11),NA())</f>
        <v>-120701.30943230583</v>
      </c>
      <c r="AA11" s="4">
        <f>IF(A11&lt;('2. Inputs and results'!$B$21+1),AA10+(G11+I11+H11+T11-$V$6)," ")</f>
        <v>52421.447597030405</v>
      </c>
      <c r="AB11" s="20">
        <f>IF(A11&lt;('2. Inputs and results'!$B$21+1),AA11/L11,NA())</f>
        <v>0.33517549614469566</v>
      </c>
      <c r="AC11" s="29">
        <f>IF(A11&lt;('2. Inputs and results'!$B$21+1),AC10+(C11+Y11-$V$6)," ")</f>
        <v>40952.321293094399</v>
      </c>
      <c r="AD11" s="20">
        <f>IF(A11&lt;('2. Inputs and results'!$B$21+1),AC11/L11,NA())</f>
        <v>0.26184348652873657</v>
      </c>
      <c r="AE11">
        <f>IF(A11&lt;('2. Inputs and results'!$B$21+1),-'2. Inputs and results'!$B$121*A11," ")</f>
        <v>-122400</v>
      </c>
      <c r="AF11">
        <f>IF(A11&lt;('2. Inputs and results'!$B$21+1),AE11/1000,NA())</f>
        <v>-122.4</v>
      </c>
    </row>
    <row r="12" spans="1:32" x14ac:dyDescent="0.25">
      <c r="A12">
        <f t="shared" si="0"/>
        <v>7</v>
      </c>
      <c r="B12">
        <f>IF(A12&lt;('2. Inputs and results'!$B$21+1),A12," ")</f>
        <v>7</v>
      </c>
      <c r="C12" s="4">
        <f>IF(A12&lt;('2. Inputs and results'!$B$21+1),'2. Inputs and results'!$B$99+'2. Inputs and results'!$B$101," ")</f>
        <v>11460</v>
      </c>
      <c r="D12" s="4">
        <f>IF(A12&lt;('2. Inputs and results'!$B$21+1),D11+C12,NA())</f>
        <v>80220</v>
      </c>
      <c r="E12" s="4">
        <f>IF(B12&lt;('2. Inputs and results'!$B$21+1),C12/((1+$P$2)^A12)," ")</f>
        <v>8708.658139295645</v>
      </c>
      <c r="F12" s="4">
        <f>IF(A12&lt;('2. Inputs and results'!$B$21+1),F11+E12," ")</f>
        <v>68783.546517608818</v>
      </c>
      <c r="G12" s="4">
        <f>IF(A12&lt;('2. Inputs and results'!$B$21+1),G11*(1+'2. Inputs and results'!$B$46)," ")</f>
        <v>16596.673613395204</v>
      </c>
      <c r="H12" s="4">
        <f>IF(A12&lt;('2. Inputs and results'!$B$21+1),H11*(1+'2. Inputs and results'!$B$58)," ")</f>
        <v>0</v>
      </c>
      <c r="I12" s="4">
        <f>IF(A12&lt;('2. Inputs and results'!$B$21+1),I11*(1+'2. Inputs and results'!$B$34)," ")</f>
        <v>-340.44458694144009</v>
      </c>
      <c r="J12" s="4">
        <f>IF(A12&lt;('2. Inputs and results'!$B$21+1),J11*(1+'2. Inputs and results'!$B$68)," ")</f>
        <v>0</v>
      </c>
      <c r="K12" s="4">
        <f>IF('Solution 1, (hidden) (2)'!A12&lt;('2. Inputs and results'!$B$21+1),K11+(G12+I12+H12+J12),NA())</f>
        <v>96193.379467349761</v>
      </c>
      <c r="L12" s="4">
        <f>IF(A12&lt;('2. Inputs and results'!$B$21+1),L11,NA())</f>
        <v>156400</v>
      </c>
      <c r="M12" s="4">
        <f>IF(A12&lt;('2. Inputs and results'!$B$21+1),'2. Inputs and results'!$B$75*'2. Inputs and results'!$B$73," ")</f>
        <v>1840</v>
      </c>
      <c r="N12" s="4">
        <f>IF(A12&lt;('2. Inputs and results'!$B$21+1),M12/((1+$P$2)^A12)," ")</f>
        <v>1398.2487762917963</v>
      </c>
      <c r="O12" s="4">
        <f>IF(A12&lt;('2. Inputs and results'!$B$21+1),'2. Inputs and results'!$B$73*'2. Inputs and results'!$B$75+O11," ")</f>
        <v>167440</v>
      </c>
      <c r="P12" s="4">
        <f>IF(A12&lt;('2. Inputs and results'!$B$21+1),(G12+I12+H12+J12)/((1+$P$2)^A12)," ")</f>
        <v>12353.39801269465</v>
      </c>
      <c r="Q12" s="4">
        <f>IF(A12&lt;('2. Inputs and results'!$B$21+1),Q11+P12," ")</f>
        <v>81730.094672816413</v>
      </c>
      <c r="R12" s="4">
        <f>IF(A12&lt;('2. Inputs and results'!$B$21+1),R11+G12+I12+H12+J12+T12-$V$6,NA())</f>
        <v>-91641.89442457525</v>
      </c>
      <c r="S12" s="4">
        <f>IF(A12&lt;('2. Inputs and results'!$B$21+1),'2. Inputs and results'!$B$79*(R11)," ")</f>
        <v>-2079.5710480593925</v>
      </c>
      <c r="T12" s="4">
        <f t="shared" si="1"/>
        <v>-2079.5710480593925</v>
      </c>
      <c r="U12" s="4">
        <f>IF(A12&lt;('2. Inputs and results'!$B$21+1),U11+(T12+I12+G12+H12+J12-$V$6)/((1+$P$2)^A12),NA())</f>
        <v>-101787.06383095976</v>
      </c>
      <c r="V12" s="4">
        <f>IF(A12&lt;('2. Inputs and results'!$B$21+1),V11+('2. Inputs and results'!$B$75*'2. Inputs and results'!$B$73)," ")</f>
        <v>12880</v>
      </c>
      <c r="W12" s="4">
        <f>IF(A12&lt;('2. Inputs and results'!$B$21+1),W11+C12+Y12-$V$6,NA())</f>
        <v>-108136.63228104371</v>
      </c>
      <c r="X12" s="4">
        <f>IF(A12&lt;('2. Inputs and results'!$B$21+1),'2. Inputs and results'!$B$79*W11," ")</f>
        <v>-2308.9535741381119</v>
      </c>
      <c r="Y12" s="4">
        <f t="shared" si="2"/>
        <v>-2308.9535741381119</v>
      </c>
      <c r="Z12" s="4">
        <f>IF(A12&lt;('2. Inputs and results'!$B$21+1),Z11+(C12-$V$6+Y12)/((1+$P$2)^A12),NA())</f>
        <v>-115145.51502014611</v>
      </c>
      <c r="AA12" s="4">
        <f>IF(A12&lt;('2. Inputs and results'!$B$21+1),AA11+(G12+I12+H12+T12-$V$6)," ")</f>
        <v>64758.105575424779</v>
      </c>
      <c r="AB12" s="20">
        <f>IF(A12&lt;('2. Inputs and results'!$B$21+1),AA12/L12,NA())</f>
        <v>0.41405438347458301</v>
      </c>
      <c r="AC12" s="29">
        <f>IF(A12&lt;('2. Inputs and results'!$B$21+1),AC11+(C12+Y12-$V$6)," ")</f>
        <v>48263.367718956288</v>
      </c>
      <c r="AD12" s="20">
        <f>IF(A12&lt;('2. Inputs and results'!$B$21+1),AC12/L12,NA())</f>
        <v>0.30858930766596093</v>
      </c>
      <c r="AE12">
        <f>IF(A12&lt;('2. Inputs and results'!$B$21+1),-'2. Inputs and results'!$B$121*A12," ")</f>
        <v>-142800</v>
      </c>
      <c r="AF12">
        <f>IF(A12&lt;('2. Inputs and results'!$B$21+1),AE12/1000,NA())</f>
        <v>-142.80000000000001</v>
      </c>
    </row>
    <row r="13" spans="1:32" x14ac:dyDescent="0.25">
      <c r="A13">
        <f t="shared" si="0"/>
        <v>8</v>
      </c>
      <c r="B13">
        <f>IF(A13&lt;('2. Inputs and results'!$B$21+1),A13," ")</f>
        <v>8</v>
      </c>
      <c r="C13" s="4">
        <f>IF(A13&lt;('2. Inputs and results'!$B$21+1),'2. Inputs and results'!$B$99+'2. Inputs and results'!$B$101," ")</f>
        <v>11460</v>
      </c>
      <c r="D13" s="4">
        <f>IF(A13&lt;('2. Inputs and results'!$B$21+1),D12+C13,NA())</f>
        <v>91680</v>
      </c>
      <c r="E13" s="4">
        <f>IF(B13&lt;('2. Inputs and results'!$B$21+1),C13/((1+$P$2)^A13)," ")</f>
        <v>8373.7097493227338</v>
      </c>
      <c r="F13" s="4">
        <f>IF(A13&lt;('2. Inputs and results'!$B$21+1),F12+E13," ")</f>
        <v>77157.256266931552</v>
      </c>
      <c r="G13" s="4">
        <f>IF(A13&lt;('2. Inputs and results'!$B$21+1),G12*(1+'2. Inputs and results'!$B$46)," ")</f>
        <v>17592.474030198915</v>
      </c>
      <c r="H13" s="4">
        <f>IF(A13&lt;('2. Inputs and results'!$B$21+1),H12*(1+'2. Inputs and results'!$B$58)," ")</f>
        <v>0</v>
      </c>
      <c r="I13" s="4">
        <f>IF(A13&lt;('2. Inputs and results'!$B$21+1),I12*(1+'2. Inputs and results'!$B$34)," ")</f>
        <v>-360.87126215792654</v>
      </c>
      <c r="J13" s="4">
        <f>IF(A13&lt;('2. Inputs and results'!$B$21+1),J12*(1+'2. Inputs and results'!$B$68)," ")</f>
        <v>0</v>
      </c>
      <c r="K13" s="4">
        <f>IF('Solution 1, (hidden) (2)'!A13&lt;('2. Inputs and results'!$B$21+1),K12+(G13+I13+H13+J13),NA())</f>
        <v>113424.98223539075</v>
      </c>
      <c r="L13" s="4">
        <f>IF(A13&lt;('2. Inputs and results'!$B$21+1),L12,NA())</f>
        <v>156400</v>
      </c>
      <c r="M13" s="4">
        <f>IF(A13&lt;('2. Inputs and results'!$B$21+1),'2. Inputs and results'!$B$75*'2. Inputs and results'!$B$73," ")</f>
        <v>1840</v>
      </c>
      <c r="N13" s="4">
        <f>IF(A13&lt;('2. Inputs and results'!$B$21+1),M13/((1+$P$2)^A13)," ")</f>
        <v>1344.4699772036502</v>
      </c>
      <c r="O13" s="4">
        <f>IF(A13&lt;('2. Inputs and results'!$B$21+1),'2. Inputs and results'!$B$73*'2. Inputs and results'!$B$75+O12," ")</f>
        <v>169280</v>
      </c>
      <c r="P13" s="4">
        <f>IF(A13&lt;('2. Inputs and results'!$B$21+1),(G13+I13+H13+J13)/((1+$P$2)^A13)," ")</f>
        <v>12590.963359092622</v>
      </c>
      <c r="Q13" s="4">
        <f>IF(A13&lt;('2. Inputs and results'!$B$21+1),Q12+P13," ")</f>
        <v>94321.058031909037</v>
      </c>
      <c r="R13" s="4">
        <f>IF(A13&lt;('2. Inputs and results'!$B$21+1),R12+G13+I13+H13+J13+T13-$V$6,NA())</f>
        <v>-78083.12954502576</v>
      </c>
      <c r="S13" s="4">
        <f>IF(A13&lt;('2. Inputs and results'!$B$21+1),'2. Inputs and results'!$B$79*(R12)," ")</f>
        <v>-1832.8378884915051</v>
      </c>
      <c r="T13" s="4">
        <f t="shared" si="1"/>
        <v>-1832.8378884915051</v>
      </c>
      <c r="U13" s="4">
        <f>IF(A13&lt;('2. Inputs and results'!$B$21+1),U12+(T13+I13+G13+H13+J13-$V$6)/((1+$P$2)^A13),NA())</f>
        <v>-91879.807141548052</v>
      </c>
      <c r="V13" s="4">
        <f>IF(A13&lt;('2. Inputs and results'!$B$21+1),V12+('2. Inputs and results'!$B$75*'2. Inputs and results'!$B$73)," ")</f>
        <v>14720</v>
      </c>
      <c r="W13" s="4">
        <f>IF(A13&lt;('2. Inputs and results'!$B$21+1),W12+C13+Y13-$V$6,NA())</f>
        <v>-100679.36492666458</v>
      </c>
      <c r="X13" s="4">
        <f>IF(A13&lt;('2. Inputs and results'!$B$21+1),'2. Inputs and results'!$B$79*W12," ")</f>
        <v>-2162.7326456208743</v>
      </c>
      <c r="Y13" s="4">
        <f t="shared" si="2"/>
        <v>-2162.7326456208743</v>
      </c>
      <c r="Z13" s="4">
        <f>IF(A13&lt;('2. Inputs and results'!$B$21+1),Z12+(C13-$V$6+Y13)/((1+$P$2)^A13),NA())</f>
        <v>-109696.56280822022</v>
      </c>
      <c r="AA13" s="4">
        <f>IF(A13&lt;('2. Inputs and results'!$B$21+1),AA12+(G13+I13+H13+T13-$V$6)," ")</f>
        <v>78316.870454974269</v>
      </c>
      <c r="AB13" s="20">
        <f>IF(A13&lt;('2. Inputs and results'!$B$21+1),AA13/L13,NA())</f>
        <v>0.50074725354842886</v>
      </c>
      <c r="AC13" s="29">
        <f>IF(A13&lt;('2. Inputs and results'!$B$21+1),AC12+(C13+Y13-$V$6)," ")</f>
        <v>55720.635073335412</v>
      </c>
      <c r="AD13" s="20">
        <f>IF(A13&lt;('2. Inputs and results'!$B$21+1),AC13/L13,NA())</f>
        <v>0.35627004522592975</v>
      </c>
      <c r="AE13">
        <f>IF(A13&lt;('2. Inputs and results'!$B$21+1),-'2. Inputs and results'!$B$121*A13," ")</f>
        <v>-163200</v>
      </c>
      <c r="AF13">
        <f>IF(A13&lt;('2. Inputs and results'!$B$21+1),AE13/1000,NA())</f>
        <v>-163.19999999999999</v>
      </c>
    </row>
    <row r="14" spans="1:32" x14ac:dyDescent="0.25">
      <c r="A14">
        <f t="shared" si="0"/>
        <v>9</v>
      </c>
      <c r="B14">
        <f>IF(A14&lt;('2. Inputs and results'!$B$21+1),A14," ")</f>
        <v>9</v>
      </c>
      <c r="C14" s="4">
        <f>IF(A14&lt;('2. Inputs and results'!$B$21+1),'2. Inputs and results'!$B$99+'2. Inputs and results'!$B$101," ")</f>
        <v>11460</v>
      </c>
      <c r="D14" s="4">
        <f>IF(A14&lt;('2. Inputs and results'!$B$21+1),D13+C14,NA())</f>
        <v>103140</v>
      </c>
      <c r="E14" s="4">
        <f>IF(B14&lt;('2. Inputs and results'!$B$21+1),C14/((1+$P$2)^A14)," ")</f>
        <v>8051.6439897333976</v>
      </c>
      <c r="F14" s="4">
        <f>IF(A14&lt;('2. Inputs and results'!$B$21+1),F13+E14," ")</f>
        <v>85208.900256664943</v>
      </c>
      <c r="G14" s="4">
        <f>IF(A14&lt;('2. Inputs and results'!$B$21+1),G13*(1+'2. Inputs and results'!$B$46)," ")</f>
        <v>18648.022472010849</v>
      </c>
      <c r="H14" s="4">
        <f>IF(A14&lt;('2. Inputs and results'!$B$21+1),H13*(1+'2. Inputs and results'!$B$58)," ")</f>
        <v>0</v>
      </c>
      <c r="I14" s="4">
        <f>IF(A14&lt;('2. Inputs and results'!$B$21+1),I13*(1+'2. Inputs and results'!$B$34)," ")</f>
        <v>-382.52353788740214</v>
      </c>
      <c r="J14" s="4">
        <f>IF(A14&lt;('2. Inputs and results'!$B$21+1),J13*(1+'2. Inputs and results'!$B$68)," ")</f>
        <v>0</v>
      </c>
      <c r="K14" s="4">
        <f>IF('Solution 1, (hidden) (2)'!A14&lt;('2. Inputs and results'!$B$21+1),K13+(G14+I14+H14+J14),NA())</f>
        <v>131690.48116951418</v>
      </c>
      <c r="L14" s="4">
        <f>IF(A14&lt;('2. Inputs and results'!$B$21+1),L13,NA())</f>
        <v>156400</v>
      </c>
      <c r="M14" s="4">
        <f>IF(A14&lt;('2. Inputs and results'!$B$21+1),'2. Inputs and results'!$B$75*'2. Inputs and results'!$B$73," ")</f>
        <v>1840</v>
      </c>
      <c r="N14" s="4">
        <f>IF(A14&lt;('2. Inputs and results'!$B$21+1),M14/((1+$P$2)^A14)," ")</f>
        <v>1292.7595934650481</v>
      </c>
      <c r="O14" s="4">
        <f>IF(A14&lt;('2. Inputs and results'!$B$21+1),'2. Inputs and results'!$B$73*'2. Inputs and results'!$B$75+O13," ")</f>
        <v>171120</v>
      </c>
      <c r="P14" s="4">
        <f>IF(A14&lt;('2. Inputs and results'!$B$21+1),(G14+I14+H14+J14)/((1+$P$2)^A14)," ")</f>
        <v>12833.0972698444</v>
      </c>
      <c r="Q14" s="4">
        <f>IF(A14&lt;('2. Inputs and results'!$B$21+1),Q13+P14," ")</f>
        <v>107154.15530175343</v>
      </c>
      <c r="R14" s="4">
        <f>IF(A14&lt;('2. Inputs and results'!$B$21+1),R13+G14+I14+H14+J14+T14-$V$6,NA())</f>
        <v>-63219.293201802822</v>
      </c>
      <c r="S14" s="4">
        <f>IF(A14&lt;('2. Inputs and results'!$B$21+1),'2. Inputs and results'!$B$79*(R13)," ")</f>
        <v>-1561.6625909005152</v>
      </c>
      <c r="T14" s="4">
        <f t="shared" si="1"/>
        <v>-1561.6625909005152</v>
      </c>
      <c r="U14" s="4">
        <f>IF(A14&lt;('2. Inputs and results'!$B$21+1),U13+(T14+I14+G14+H14+J14-$V$6)/((1+$P$2)^A14),NA())</f>
        <v>-81436.672886985078</v>
      </c>
      <c r="V14" s="4">
        <f>IF(A14&lt;('2. Inputs and results'!$B$21+1),V13+('2. Inputs and results'!$B$75*'2. Inputs and results'!$B$73)," ")</f>
        <v>16560</v>
      </c>
      <c r="W14" s="4">
        <f>IF(A14&lt;('2. Inputs and results'!$B$21+1),W13+C14+Y14-$V$6,NA())</f>
        <v>-93072.952225197878</v>
      </c>
      <c r="X14" s="4">
        <f>IF(A14&lt;('2. Inputs and results'!$B$21+1),'2. Inputs and results'!$B$79*W13," ")</f>
        <v>-2013.5872985332917</v>
      </c>
      <c r="Y14" s="4">
        <f t="shared" si="2"/>
        <v>-2013.5872985332917</v>
      </c>
      <c r="Z14" s="4">
        <f>IF(A14&lt;('2. Inputs and results'!$B$21+1),Z13+(C14-$V$6+Y14)/((1+$P$2)^A14),NA())</f>
        <v>-104352.39813883137</v>
      </c>
      <c r="AA14" s="4">
        <f>IF(A14&lt;('2. Inputs and results'!$B$21+1),AA13+(G14+I14+H14+T14-$V$6)," ")</f>
        <v>93180.706798197207</v>
      </c>
      <c r="AB14" s="20">
        <f>IF(A14&lt;('2. Inputs and results'!$B$21+1),AA14/L14,NA())</f>
        <v>0.595784570320954</v>
      </c>
      <c r="AC14" s="29">
        <f>IF(A14&lt;('2. Inputs and results'!$B$21+1),AC13+(C14+Y14-$V$6)," ")</f>
        <v>63327.047774802122</v>
      </c>
      <c r="AD14" s="20">
        <f>IF(A14&lt;('2. Inputs and results'!$B$21+1),AC14/L14,NA())</f>
        <v>0.40490439753709795</v>
      </c>
      <c r="AE14">
        <f>IF(A14&lt;('2. Inputs and results'!$B$21+1),-'2. Inputs and results'!$B$121*A14," ")</f>
        <v>-183600</v>
      </c>
      <c r="AF14">
        <f>IF(A14&lt;('2. Inputs and results'!$B$21+1),AE14/1000,NA())</f>
        <v>-183.6</v>
      </c>
    </row>
    <row r="15" spans="1:32" x14ac:dyDescent="0.25">
      <c r="A15">
        <f t="shared" si="0"/>
        <v>10</v>
      </c>
      <c r="B15">
        <f>IF(A15&lt;('2. Inputs and results'!$B$21+1),A15," ")</f>
        <v>10</v>
      </c>
      <c r="C15" s="4">
        <f>IF(A15&lt;('2. Inputs and results'!$B$21+1),'2. Inputs and results'!$B$99+'2. Inputs and results'!$B$101," ")</f>
        <v>11460</v>
      </c>
      <c r="D15" s="4">
        <f>IF(A15&lt;('2. Inputs and results'!$B$21+1),D14+C15,NA())</f>
        <v>114600</v>
      </c>
      <c r="E15" s="4">
        <f>IF(B15&lt;('2. Inputs and results'!$B$21+1),C15/((1+$P$2)^A15)," ")</f>
        <v>7741.9653747436514</v>
      </c>
      <c r="F15" s="4">
        <f>IF(A15&lt;('2. Inputs and results'!$B$21+1),F14+E15," ")</f>
        <v>92950.865631408597</v>
      </c>
      <c r="G15" s="4">
        <f>IF(A15&lt;('2. Inputs and results'!$B$21+1),G14*(1+'2. Inputs and results'!$B$46)," ")</f>
        <v>19766.903820331499</v>
      </c>
      <c r="H15" s="4">
        <f>IF(A15&lt;('2. Inputs and results'!$B$21+1),H14*(1+'2. Inputs and results'!$B$58)," ")</f>
        <v>0</v>
      </c>
      <c r="I15" s="4">
        <f>IF(A15&lt;('2. Inputs and results'!$B$21+1),I14*(1+'2. Inputs and results'!$B$34)," ")</f>
        <v>-405.4749501606463</v>
      </c>
      <c r="J15" s="4">
        <f>IF(A15&lt;('2. Inputs and results'!$B$21+1),J14*(1+'2. Inputs and results'!$B$68)," ")</f>
        <v>0</v>
      </c>
      <c r="K15" s="4">
        <f>IF('Solution 1, (hidden) (2)'!A15&lt;('2. Inputs and results'!$B$21+1),K14+(G15+I15+H15+J15),NA())</f>
        <v>151051.91003968503</v>
      </c>
      <c r="L15" s="4">
        <f>IF(A15&lt;('2. Inputs and results'!$B$21+1),L14,NA())</f>
        <v>156400</v>
      </c>
      <c r="M15" s="4">
        <f>IF(A15&lt;('2. Inputs and results'!$B$21+1),'2. Inputs and results'!$B$75*'2. Inputs and results'!$B$73," ")</f>
        <v>1840</v>
      </c>
      <c r="N15" s="4">
        <f>IF(A15&lt;('2. Inputs and results'!$B$21+1),M15/((1+$P$2)^A15)," ")</f>
        <v>1243.0380706394694</v>
      </c>
      <c r="O15" s="4">
        <f>IF(A15&lt;('2. Inputs and results'!$B$21+1),'2. Inputs and results'!$B$73*'2. Inputs and results'!$B$75+O14," ")</f>
        <v>172960</v>
      </c>
      <c r="P15" s="4">
        <f>IF(A15&lt;('2. Inputs and results'!$B$21+1),(G15+I15+H15+J15)/((1+$P$2)^A15)," ")</f>
        <v>13079.887601956792</v>
      </c>
      <c r="Q15" s="4">
        <f>IF(A15&lt;('2. Inputs and results'!$B$21+1),Q14+P15," ")</f>
        <v>120234.04290371023</v>
      </c>
      <c r="R15" s="4">
        <f>IF(A15&lt;('2. Inputs and results'!$B$21+1),R14+G15+I15+H15+J15+T15-$V$6,NA())</f>
        <v>-46962.250195668028</v>
      </c>
      <c r="S15" s="4">
        <f>IF(A15&lt;('2. Inputs and results'!$B$21+1),'2. Inputs and results'!$B$79*(R14)," ")</f>
        <v>-1264.3858640360565</v>
      </c>
      <c r="T15" s="4">
        <f t="shared" si="1"/>
        <v>-1264.3858640360565</v>
      </c>
      <c r="U15" s="4">
        <f>IF(A15&lt;('2. Inputs and results'!$B$21+1),U14+(T15+I15+G15+H15+J15-$V$6)/((1+$P$2)^A15),NA())</f>
        <v>-70453.997140980355</v>
      </c>
      <c r="V15" s="4">
        <f>IF(A15&lt;('2. Inputs and results'!$B$21+1),V14+('2. Inputs and results'!$B$75*'2. Inputs and results'!$B$73)," ")</f>
        <v>18400</v>
      </c>
      <c r="W15" s="4">
        <f>IF(A15&lt;('2. Inputs and results'!$B$21+1),W14+C15+Y15-$V$6,NA())</f>
        <v>-85314.411269701843</v>
      </c>
      <c r="X15" s="4">
        <f>IF(A15&lt;('2. Inputs and results'!$B$21+1),'2. Inputs and results'!$B$79*W14," ")</f>
        <v>-1861.4590445039576</v>
      </c>
      <c r="Y15" s="4">
        <f t="shared" si="2"/>
        <v>-1861.4590445039576</v>
      </c>
      <c r="Z15" s="4">
        <f>IF(A15&lt;('2. Inputs and results'!$B$21+1),Z14+(C15-$V$6+Y15)/((1+$P$2)^A15),NA())</f>
        <v>-99111.005866930762</v>
      </c>
      <c r="AA15" s="4">
        <f>IF(A15&lt;('2. Inputs and results'!$B$21+1),AA14+(G15+I15+H15+T15-$V$6)," ")</f>
        <v>109437.74980433201</v>
      </c>
      <c r="AB15" s="20">
        <f>IF(A15&lt;('2. Inputs and results'!$B$21+1),AA15/L15,NA())</f>
        <v>0.69972985808396426</v>
      </c>
      <c r="AC15" s="29">
        <f>IF(A15&lt;('2. Inputs and results'!$B$21+1),AC14+(C15+Y15-$V$6)," ")</f>
        <v>71085.588730298157</v>
      </c>
      <c r="AD15" s="20">
        <f>IF(A15&lt;('2. Inputs and results'!$B$21+1),AC15/L15,NA())</f>
        <v>0.45451143689448947</v>
      </c>
      <c r="AE15">
        <f>IF(A15&lt;('2. Inputs and results'!$B$21+1),-'2. Inputs and results'!$B$121*A15," ")</f>
        <v>-204000</v>
      </c>
      <c r="AF15">
        <f>IF(A15&lt;('2. Inputs and results'!$B$21+1),AE15/1000,NA())</f>
        <v>-204</v>
      </c>
    </row>
    <row r="16" spans="1:32" x14ac:dyDescent="0.25">
      <c r="A16">
        <f t="shared" si="0"/>
        <v>11</v>
      </c>
      <c r="B16">
        <f>IF(A16&lt;('2. Inputs and results'!$B$21+1),A16," ")</f>
        <v>11</v>
      </c>
      <c r="C16" s="4">
        <f>IF(A16&lt;('2. Inputs and results'!$B$21+1),'2. Inputs and results'!$B$99+'2. Inputs and results'!$B$101," ")</f>
        <v>11460</v>
      </c>
      <c r="D16" s="4">
        <f>IF(A16&lt;('2. Inputs and results'!$B$21+1),D15+C16,NA())</f>
        <v>126060</v>
      </c>
      <c r="E16" s="4">
        <f>IF(B16&lt;('2. Inputs and results'!$B$21+1),C16/((1+$P$2)^A16)," ")</f>
        <v>7444.1974757150501</v>
      </c>
      <c r="F16" s="4">
        <f>IF(A16&lt;('2. Inputs and results'!$B$21+1),F15+E16," ")</f>
        <v>100395.06310712364</v>
      </c>
      <c r="G16" s="4">
        <f>IF(A16&lt;('2. Inputs and results'!$B$21+1),G15*(1+'2. Inputs and results'!$B$46)," ")</f>
        <v>20952.91804955139</v>
      </c>
      <c r="H16" s="4">
        <f>IF(A16&lt;('2. Inputs and results'!$B$21+1),H15*(1+'2. Inputs and results'!$B$58)," ")</f>
        <v>0</v>
      </c>
      <c r="I16" s="4">
        <f>IF(A16&lt;('2. Inputs and results'!$B$21+1),I15*(1+'2. Inputs and results'!$B$34)," ")</f>
        <v>-429.8034471702851</v>
      </c>
      <c r="J16" s="4">
        <f>IF(A16&lt;('2. Inputs and results'!$B$21+1),J15*(1+'2. Inputs and results'!$B$68)," ")</f>
        <v>0</v>
      </c>
      <c r="K16" s="4">
        <f>IF('Solution 1, (hidden) (2)'!A16&lt;('2. Inputs and results'!$B$21+1),K15+(G16+I16+H16+J16),NA())</f>
        <v>171575.02464206613</v>
      </c>
      <c r="L16" s="4">
        <f>IF(A16&lt;('2. Inputs and results'!$B$21+1),L15,NA())</f>
        <v>156400</v>
      </c>
      <c r="M16" s="4">
        <f>IF(A16&lt;('2. Inputs and results'!$B$21+1),'2. Inputs and results'!$B$75*'2. Inputs and results'!$B$73," ")</f>
        <v>1840</v>
      </c>
      <c r="N16" s="4">
        <f>IF(A16&lt;('2. Inputs and results'!$B$21+1),M16/((1+$P$2)^A16)," ")</f>
        <v>1195.2289140764128</v>
      </c>
      <c r="O16" s="4">
        <f>IF(A16&lt;('2. Inputs and results'!$B$21+1),'2. Inputs and results'!$B$73*'2. Inputs and results'!$B$75+O15," ")</f>
        <v>174800</v>
      </c>
      <c r="P16" s="4">
        <f>IF(A16&lt;('2. Inputs and results'!$B$21+1),(G16+I16+H16+J16)/((1+$P$2)^A16)," ")</f>
        <v>13331.423901994425</v>
      </c>
      <c r="Q16" s="4">
        <f>IF(A16&lt;('2. Inputs and results'!$B$21+1),Q15+P16," ")</f>
        <v>133565.46680570467</v>
      </c>
      <c r="R16" s="4">
        <f>IF(A16&lt;('2. Inputs and results'!$B$21+1),R15+G16+I16+H16+J16+T16-$V$6,NA())</f>
        <v>-29218.380597200285</v>
      </c>
      <c r="S16" s="4">
        <f>IF(A16&lt;('2. Inputs and results'!$B$21+1),'2. Inputs and results'!$B$79*(R15)," ")</f>
        <v>-939.24500391336062</v>
      </c>
      <c r="T16" s="4">
        <f t="shared" si="1"/>
        <v>-939.24500391336062</v>
      </c>
      <c r="U16" s="4">
        <f>IF(A16&lt;('2. Inputs and results'!$B$21+1),U15+(T16+I16+G16+H16+J16-$V$6)/((1+$P$2)^A16),NA())</f>
        <v>-58927.917797670532</v>
      </c>
      <c r="V16" s="4">
        <f>IF(A16&lt;('2. Inputs and results'!$B$21+1),V15+('2. Inputs and results'!$B$75*'2. Inputs and results'!$B$73)," ")</f>
        <v>20240</v>
      </c>
      <c r="W16" s="4">
        <f>IF(A16&lt;('2. Inputs and results'!$B$21+1),W15+C16+Y16-$V$6,NA())</f>
        <v>-77400.699495095876</v>
      </c>
      <c r="X16" s="4">
        <f>IF(A16&lt;('2. Inputs and results'!$B$21+1),'2. Inputs and results'!$B$79*W15," ")</f>
        <v>-1706.288225394037</v>
      </c>
      <c r="Y16" s="4">
        <f t="shared" si="2"/>
        <v>-1706.288225394037</v>
      </c>
      <c r="Z16" s="4">
        <f>IF(A16&lt;('2. Inputs and results'!$B$21+1),Z15+(C16-$V$6+Y16)/((1+$P$2)^A16),NA())</f>
        <v>-93970.409600259023</v>
      </c>
      <c r="AA16" s="4">
        <f>IF(A16&lt;('2. Inputs and results'!$B$21+1),AA15+(G16+I16+H16+T16-$V$6)," ")</f>
        <v>127181.61940279976</v>
      </c>
      <c r="AB16" s="20">
        <f>IF(A16&lt;('2. Inputs and results'!$B$21+1),AA16/L16,NA())</f>
        <v>0.81318170973657133</v>
      </c>
      <c r="AC16" s="29">
        <f>IF(A16&lt;('2. Inputs and results'!$B$21+1),AC15+(C16+Y16-$V$6)," ")</f>
        <v>78999.300504904124</v>
      </c>
      <c r="AD16" s="20">
        <f>IF(A16&lt;('2. Inputs and results'!$B$21+1),AC16/L16,NA())</f>
        <v>0.50511061703902893</v>
      </c>
      <c r="AE16">
        <f>IF(A16&lt;('2. Inputs and results'!$B$21+1),-'2. Inputs and results'!$B$121*A16," ")</f>
        <v>-224400</v>
      </c>
      <c r="AF16">
        <f>IF(A16&lt;('2. Inputs and results'!$B$21+1),AE16/1000,NA())</f>
        <v>-224.4</v>
      </c>
    </row>
    <row r="17" spans="1:32" x14ac:dyDescent="0.25">
      <c r="A17">
        <f t="shared" si="0"/>
        <v>12</v>
      </c>
      <c r="B17">
        <f>IF(A17&lt;('2. Inputs and results'!$B$21+1),A17," ")</f>
        <v>12</v>
      </c>
      <c r="C17" s="4">
        <f>IF(A17&lt;('2. Inputs and results'!$B$21+1),'2. Inputs and results'!$B$99+'2. Inputs and results'!$B$101," ")</f>
        <v>11460</v>
      </c>
      <c r="D17" s="4">
        <f>IF(A17&lt;('2. Inputs and results'!$B$21+1),D16+C17,NA())</f>
        <v>137520</v>
      </c>
      <c r="E17" s="4">
        <f>IF(B17&lt;('2. Inputs and results'!$B$21+1),C17/((1+$P$2)^A17)," ")</f>
        <v>7157.8821881875465</v>
      </c>
      <c r="F17" s="4">
        <f>IF(A17&lt;('2. Inputs and results'!$B$21+1),F16+E17," ")</f>
        <v>107552.94529531119</v>
      </c>
      <c r="G17" s="4">
        <f>IF(A17&lt;('2. Inputs and results'!$B$21+1),G16*(1+'2. Inputs and results'!$B$46)," ")</f>
        <v>22210.093132524475</v>
      </c>
      <c r="H17" s="4">
        <f>IF(A17&lt;('2. Inputs and results'!$B$21+1),H16*(1+'2. Inputs and results'!$B$58)," ")</f>
        <v>0</v>
      </c>
      <c r="I17" s="4">
        <f>IF(A17&lt;('2. Inputs and results'!$B$21+1),I16*(1+'2. Inputs and results'!$B$34)," ")</f>
        <v>-455.59165400050222</v>
      </c>
      <c r="J17" s="4">
        <f>IF(A17&lt;('2. Inputs and results'!$B$21+1),J16*(1+'2. Inputs and results'!$B$68)," ")</f>
        <v>0</v>
      </c>
      <c r="K17" s="4">
        <f>IF('Solution 1, (hidden) (2)'!A17&lt;('2. Inputs and results'!$B$21+1),K16+(G17+I17+H17+J17),NA())</f>
        <v>193329.5261205901</v>
      </c>
      <c r="L17" s="4">
        <f>IF(A17&lt;('2. Inputs and results'!$B$21+1),L16,NA())</f>
        <v>156400</v>
      </c>
      <c r="M17" s="4">
        <f>IF(A17&lt;('2. Inputs and results'!$B$21+1),'2. Inputs and results'!$B$75*'2. Inputs and results'!$B$73," ")</f>
        <v>1840</v>
      </c>
      <c r="N17" s="4">
        <f>IF(A17&lt;('2. Inputs and results'!$B$21+1),M17/((1+$P$2)^A17)," ")</f>
        <v>1149.2585712273199</v>
      </c>
      <c r="O17" s="4">
        <f>IF(A17&lt;('2. Inputs and results'!$B$21+1),'2. Inputs and results'!$B$73*'2. Inputs and results'!$B$75+O16," ")</f>
        <v>176640</v>
      </c>
      <c r="P17" s="4">
        <f>IF(A17&lt;('2. Inputs and results'!$B$21+1),(G17+I17+H17+J17)/((1+$P$2)^A17)," ")</f>
        <v>13587.797438571239</v>
      </c>
      <c r="Q17" s="4">
        <f>IF(A17&lt;('2. Inputs and results'!$B$21+1),Q16+P17," ")</f>
        <v>147153.2642442759</v>
      </c>
      <c r="R17" s="4">
        <f>IF(A17&lt;('2. Inputs and results'!$B$21+1),R16+G17+I17+H17+J17+T17-$V$6,NA())</f>
        <v>-9888.246730620318</v>
      </c>
      <c r="S17" s="4">
        <f>IF(A17&lt;('2. Inputs and results'!$B$21+1),'2. Inputs and results'!$B$79*(R16)," ")</f>
        <v>-584.36761194400572</v>
      </c>
      <c r="T17" s="4">
        <f t="shared" si="1"/>
        <v>-584.36761194400572</v>
      </c>
      <c r="U17" s="4">
        <f>IF(A17&lt;('2. Inputs and results'!$B$21+1),U16+(T17+I17+G17+H17+J17-$V$6)/((1+$P$2)^A17),NA())</f>
        <v>-46854.373216616987</v>
      </c>
      <c r="V17" s="4">
        <f>IF(A17&lt;('2. Inputs and results'!$B$21+1),V16+('2. Inputs and results'!$B$75*'2. Inputs and results'!$B$73)," ")</f>
        <v>22080</v>
      </c>
      <c r="W17" s="4">
        <f>IF(A17&lt;('2. Inputs and results'!$B$21+1),W16+C17+Y17-$V$6,NA())</f>
        <v>-69328.713484997788</v>
      </c>
      <c r="X17" s="4">
        <f>IF(A17&lt;('2. Inputs and results'!$B$21+1),'2. Inputs and results'!$B$79*W16," ")</f>
        <v>-1548.0139899019175</v>
      </c>
      <c r="Y17" s="4">
        <f t="shared" si="2"/>
        <v>-1548.0139899019175</v>
      </c>
      <c r="Z17" s="4">
        <f>IF(A17&lt;('2. Inputs and results'!$B$21+1),Z16+(C17-$V$6+Y17)/((1+$P$2)^A17),NA())</f>
        <v>-88928.670954100206</v>
      </c>
      <c r="AA17" s="4">
        <f>IF(A17&lt;('2. Inputs and results'!$B$21+1),AA16+(G17+I17+H17+T17-$V$6)," ")</f>
        <v>146511.75326937973</v>
      </c>
      <c r="AB17" s="20">
        <f>IF(A17&lt;('2. Inputs and results'!$B$21+1),AA17/L17,NA())</f>
        <v>0.9367759160446274</v>
      </c>
      <c r="AC17" s="29">
        <f>IF(A17&lt;('2. Inputs and results'!$B$21+1),AC16+(C17+Y17-$V$6)," ")</f>
        <v>87071.286515002212</v>
      </c>
      <c r="AD17" s="20">
        <f>IF(A17&lt;('2. Inputs and results'!$B$21+1),AC17/L17,NA())</f>
        <v>0.55672178078645917</v>
      </c>
      <c r="AE17">
        <f>IF(A17&lt;('2. Inputs and results'!$B$21+1),-'2. Inputs and results'!$B$121*A17," ")</f>
        <v>-244800</v>
      </c>
      <c r="AF17">
        <f>IF(A17&lt;('2. Inputs and results'!$B$21+1),AE17/1000,NA())</f>
        <v>-244.8</v>
      </c>
    </row>
    <row r="18" spans="1:32" x14ac:dyDescent="0.25">
      <c r="A18">
        <f t="shared" si="0"/>
        <v>13</v>
      </c>
      <c r="B18">
        <f>IF(A18&lt;('2. Inputs and results'!$B$21+1),A18," ")</f>
        <v>13</v>
      </c>
      <c r="C18" s="4">
        <f>IF(A18&lt;('2. Inputs and results'!$B$21+1),'2. Inputs and results'!$B$99+'2. Inputs and results'!$B$101," ")</f>
        <v>11460</v>
      </c>
      <c r="D18" s="4">
        <f>IF(A18&lt;('2. Inputs and results'!$B$21+1),D17+C18,NA())</f>
        <v>148980</v>
      </c>
      <c r="E18" s="4">
        <f>IF(B18&lt;('2. Inputs and results'!$B$21+1),C18/((1+$P$2)^A18)," ")</f>
        <v>6882.5790271034102</v>
      </c>
      <c r="F18" s="4">
        <f>IF(A18&lt;('2. Inputs and results'!$B$21+1),F17+E18," ")</f>
        <v>114435.5243224146</v>
      </c>
      <c r="G18" s="4">
        <f>IF(A18&lt;('2. Inputs and results'!$B$21+1),G17*(1+'2. Inputs and results'!$B$46)," ")</f>
        <v>23542.698720475943</v>
      </c>
      <c r="H18" s="4">
        <f>IF(A18&lt;('2. Inputs and results'!$B$21+1),H17*(1+'2. Inputs and results'!$B$58)," ")</f>
        <v>0</v>
      </c>
      <c r="I18" s="4">
        <f>IF(A18&lt;('2. Inputs and results'!$B$21+1),I17*(1+'2. Inputs and results'!$B$34)," ")</f>
        <v>-482.92715324053239</v>
      </c>
      <c r="J18" s="4">
        <f>IF(A18&lt;('2. Inputs and results'!$B$21+1),J17*(1+'2. Inputs and results'!$B$68)," ")</f>
        <v>0</v>
      </c>
      <c r="K18" s="4">
        <f>IF('Solution 1, (hidden) (2)'!A18&lt;('2. Inputs and results'!$B$21+1),K17+(G18+I18+H18+J18),NA())</f>
        <v>216389.29768782551</v>
      </c>
      <c r="L18" s="4">
        <f>IF(A18&lt;('2. Inputs and results'!$B$21+1),L17,NA())</f>
        <v>156400</v>
      </c>
      <c r="M18" s="4">
        <f>IF(A18&lt;('2. Inputs and results'!$B$21+1),'2. Inputs and results'!$B$75*'2. Inputs and results'!$B$73," ")</f>
        <v>1840</v>
      </c>
      <c r="N18" s="4">
        <f>IF(A18&lt;('2. Inputs and results'!$B$21+1),M18/((1+$P$2)^A18)," ")</f>
        <v>1105.0563184878076</v>
      </c>
      <c r="O18" s="4">
        <f>IF(A18&lt;('2. Inputs and results'!$B$21+1),'2. Inputs and results'!$B$73*'2. Inputs and results'!$B$75+O17," ")</f>
        <v>178480</v>
      </c>
      <c r="P18" s="4">
        <f>IF(A18&lt;('2. Inputs and results'!$B$21+1),(G18+I18+H18+J18)/((1+$P$2)^A18)," ")</f>
        <v>13849.101235466838</v>
      </c>
      <c r="Q18" s="4">
        <f>IF(A18&lt;('2. Inputs and results'!$B$21+1),Q17+P18," ")</f>
        <v>161002.36547974273</v>
      </c>
      <c r="R18" s="4">
        <f>IF(A18&lt;('2. Inputs and results'!$B$21+1),R17+G18+I18+H18+J18+T18-$V$6,NA())</f>
        <v>11133.759902002685</v>
      </c>
      <c r="S18" s="4">
        <f>IF(A18&lt;('2. Inputs and results'!$B$21+1),'2. Inputs and results'!$B$79*(R17)," ")</f>
        <v>-197.76493461240636</v>
      </c>
      <c r="T18" s="4">
        <f t="shared" si="1"/>
        <v>-197.76493461240636</v>
      </c>
      <c r="U18" s="4">
        <f>IF(A18&lt;('2. Inputs and results'!$B$21+1),U17+(T18+I18+G18+H18+J18-$V$6)/((1+$P$2)^A18),NA())</f>
        <v>-34229.100794512284</v>
      </c>
      <c r="V18" s="4">
        <f>IF(A18&lt;('2. Inputs and results'!$B$21+1),V17+('2. Inputs and results'!$B$75*'2. Inputs and results'!$B$73)," ")</f>
        <v>23920</v>
      </c>
      <c r="W18" s="4">
        <f>IF(A18&lt;('2. Inputs and results'!$B$21+1),W17+C18+Y18-$V$6,NA())</f>
        <v>-61095.287754697747</v>
      </c>
      <c r="X18" s="4">
        <f>IF(A18&lt;('2. Inputs and results'!$B$21+1),'2. Inputs and results'!$B$79*W17," ")</f>
        <v>-1386.5742696999557</v>
      </c>
      <c r="Y18" s="4">
        <f t="shared" si="2"/>
        <v>-1386.5742696999557</v>
      </c>
      <c r="Z18" s="4">
        <f>IF(A18&lt;('2. Inputs and results'!$B$21+1),Z17+(C18-$V$6+Y18)/((1+$P$2)^A18),NA())</f>
        <v>-83983.888820367516</v>
      </c>
      <c r="AA18" s="4">
        <f>IF(A18&lt;('2. Inputs and results'!$B$21+1),AA17+(G18+I18+H18+T18-$V$6)," ")</f>
        <v>167533.75990200273</v>
      </c>
      <c r="AB18" s="20">
        <f>IF(A18&lt;('2. Inputs and results'!$B$21+1),AA18/L18,NA())</f>
        <v>1.0711877231585851</v>
      </c>
      <c r="AC18" s="29">
        <f>IF(A18&lt;('2. Inputs and results'!$B$21+1),AC17+(C18+Y18-$V$6)," ")</f>
        <v>95304.71224530226</v>
      </c>
      <c r="AD18" s="20">
        <f>IF(A18&lt;('2. Inputs and results'!$B$21+1),AC18/L18,NA())</f>
        <v>0.60936516780883798</v>
      </c>
      <c r="AE18">
        <f>IF(A18&lt;('2. Inputs and results'!$B$21+1),-'2. Inputs and results'!$B$121*A18," ")</f>
        <v>-265200</v>
      </c>
      <c r="AF18">
        <f>IF(A18&lt;('2. Inputs and results'!$B$21+1),AE18/1000,NA())</f>
        <v>-265.2</v>
      </c>
    </row>
    <row r="19" spans="1:32" x14ac:dyDescent="0.25">
      <c r="A19">
        <f t="shared" si="0"/>
        <v>14</v>
      </c>
      <c r="B19">
        <f>IF(A19&lt;('2. Inputs and results'!$B$21+1),A19," ")</f>
        <v>14</v>
      </c>
      <c r="C19" s="4">
        <f>IF(A19&lt;('2. Inputs and results'!$B$21+1),'2. Inputs and results'!$B$99+'2. Inputs and results'!$B$101," ")</f>
        <v>11460</v>
      </c>
      <c r="D19" s="4">
        <f>IF(A19&lt;('2. Inputs and results'!$B$21+1),D18+C19,NA())</f>
        <v>160440</v>
      </c>
      <c r="E19" s="4">
        <f>IF(B19&lt;('2. Inputs and results'!$B$21+1),C19/((1+$P$2)^A19)," ")</f>
        <v>6617.8644491378946</v>
      </c>
      <c r="F19" s="4">
        <f>IF(A19&lt;('2. Inputs and results'!$B$21+1),F18+E19," ")</f>
        <v>121053.38877155249</v>
      </c>
      <c r="G19" s="4">
        <f>IF(A19&lt;('2. Inputs and results'!$B$21+1),G18*(1+'2. Inputs and results'!$B$46)," ")</f>
        <v>24955.2606437045</v>
      </c>
      <c r="H19" s="4">
        <f>IF(A19&lt;('2. Inputs and results'!$B$21+1),H18*(1+'2. Inputs and results'!$B$58)," ")</f>
        <v>0</v>
      </c>
      <c r="I19" s="4">
        <f>IF(A19&lt;('2. Inputs and results'!$B$21+1),I18*(1+'2. Inputs and results'!$B$34)," ")</f>
        <v>-511.90278243496437</v>
      </c>
      <c r="J19" s="4">
        <f>IF(A19&lt;('2. Inputs and results'!$B$21+1),J18*(1+'2. Inputs and results'!$B$68)," ")</f>
        <v>0</v>
      </c>
      <c r="K19" s="4">
        <f>IF('Solution 1, (hidden) (2)'!A19&lt;('2. Inputs and results'!$B$21+1),K18+(G19+I19+H19+J19),NA())</f>
        <v>240832.65554909504</v>
      </c>
      <c r="L19" s="4">
        <f>IF(A19&lt;('2. Inputs and results'!$B$21+1),L18,NA())</f>
        <v>156400</v>
      </c>
      <c r="M19" s="4">
        <f>IF(A19&lt;('2. Inputs and results'!$B$21+1),'2. Inputs and results'!$B$75*'2. Inputs and results'!$B$73," ")</f>
        <v>1840</v>
      </c>
      <c r="N19" s="4">
        <f>IF(A19&lt;('2. Inputs and results'!$B$21+1),M19/((1+$P$2)^A19)," ")</f>
        <v>1062.5541523921227</v>
      </c>
      <c r="O19" s="4">
        <f>IF(A19&lt;('2. Inputs and results'!$B$21+1),'2. Inputs and results'!$B$73*'2. Inputs and results'!$B$75+O18," ")</f>
        <v>180320</v>
      </c>
      <c r="P19" s="4">
        <f>IF(A19&lt;('2. Inputs and results'!$B$21+1),(G19+I19+H19+J19)/((1+$P$2)^A19)," ")</f>
        <v>14115.430105379663</v>
      </c>
      <c r="Q19" s="4">
        <f>IF(A19&lt;('2. Inputs and results'!$B$21+1),Q18+P19," ")</f>
        <v>175117.7955851224</v>
      </c>
      <c r="R19" s="4">
        <f>IF(A19&lt;('2. Inputs and results'!$B$21+1),R18+G19+I19+H19+J19+T19-$V$6,NA())</f>
        <v>33737.117763272225</v>
      </c>
      <c r="S19" s="4">
        <f>IF(A19&lt;('2. Inputs and results'!$B$21+1),'2. Inputs and results'!$B$79*(R18)," ")</f>
        <v>222.67519804005369</v>
      </c>
      <c r="T19" s="4">
        <f t="shared" si="1"/>
        <v>0</v>
      </c>
      <c r="U19" s="4">
        <f>IF(A19&lt;('2. Inputs and results'!$B$21+1),U18+(T19+I19+G19+H19+J19-$V$6)/((1+$P$2)^A19),NA())</f>
        <v>-21176.224841524745</v>
      </c>
      <c r="V19" s="4">
        <f>IF(A19&lt;('2. Inputs and results'!$B$21+1),V18+('2. Inputs and results'!$B$75*'2. Inputs and results'!$B$73)," ")</f>
        <v>25760</v>
      </c>
      <c r="W19" s="4">
        <f>IF(A19&lt;('2. Inputs and results'!$B$21+1),W18+C19+Y19-$V$6,NA())</f>
        <v>-52697.193509791701</v>
      </c>
      <c r="X19" s="4">
        <f>IF(A19&lt;('2. Inputs and results'!$B$21+1),'2. Inputs and results'!$B$79*W18," ")</f>
        <v>-1221.9057550939549</v>
      </c>
      <c r="Y19" s="4">
        <f t="shared" si="2"/>
        <v>-1221.9057550939549</v>
      </c>
      <c r="Z19" s="4">
        <f>IF(A19&lt;('2. Inputs and results'!$B$21+1),Z18+(C19-$V$6+Y19)/((1+$P$2)^A19),NA())</f>
        <v>-79134.198650745064</v>
      </c>
      <c r="AA19" s="4">
        <f>IF(A19&lt;('2. Inputs and results'!$B$21+1),AA18+(G19+I19+H19+T19-$V$6)," ")</f>
        <v>190137.11776327225</v>
      </c>
      <c r="AB19" s="20">
        <f>IF(A19&lt;('2. Inputs and results'!$B$21+1),AA19/L19,NA())</f>
        <v>1.2157104716321756</v>
      </c>
      <c r="AC19" s="29">
        <f>IF(A19&lt;('2. Inputs and results'!$B$21+1),AC18+(C19+Y19-$V$6)," ")</f>
        <v>103702.80649020831</v>
      </c>
      <c r="AD19" s="20">
        <f>IF(A19&lt;('2. Inputs and results'!$B$21+1),AC19/L19,NA())</f>
        <v>0.66306142257166445</v>
      </c>
      <c r="AE19">
        <f>IF(A19&lt;('2. Inputs and results'!$B$21+1),-'2. Inputs and results'!$B$121*A19," ")</f>
        <v>-285600</v>
      </c>
      <c r="AF19">
        <f>IF(A19&lt;('2. Inputs and results'!$B$21+1),AE19/1000,NA())</f>
        <v>-285.60000000000002</v>
      </c>
    </row>
    <row r="20" spans="1:32" x14ac:dyDescent="0.25">
      <c r="A20">
        <f t="shared" si="0"/>
        <v>15</v>
      </c>
      <c r="B20">
        <f>IF(A20&lt;('2. Inputs and results'!$B$21+1),A20," ")</f>
        <v>15</v>
      </c>
      <c r="C20" s="4">
        <f>IF(A20&lt;('2. Inputs and results'!$B$21+1),'2. Inputs and results'!$B$99+'2. Inputs and results'!$B$101," ")</f>
        <v>11460</v>
      </c>
      <c r="D20" s="4">
        <f>IF(A20&lt;('2. Inputs and results'!$B$21+1),D19+C20,NA())</f>
        <v>171900</v>
      </c>
      <c r="E20" s="4">
        <f>IF(B20&lt;('2. Inputs and results'!$B$21+1),C20/((1+$P$2)^A20)," ")</f>
        <v>6363.331201094129</v>
      </c>
      <c r="F20" s="4">
        <f>IF(A20&lt;('2. Inputs and results'!$B$21+1),F19+E20," ")</f>
        <v>127416.71997264662</v>
      </c>
      <c r="G20" s="4">
        <f>IF(A20&lt;('2. Inputs and results'!$B$21+1),G19*(1+'2. Inputs and results'!$B$46)," ")</f>
        <v>26452.576282326772</v>
      </c>
      <c r="H20" s="4">
        <f>IF(A20&lt;('2. Inputs and results'!$B$21+1),H19*(1+'2. Inputs and results'!$B$58)," ")</f>
        <v>0</v>
      </c>
      <c r="I20" s="4">
        <f>IF(A20&lt;('2. Inputs and results'!$B$21+1),I19*(1+'2. Inputs and results'!$B$34)," ")</f>
        <v>-542.61694938106223</v>
      </c>
      <c r="J20" s="4">
        <f>IF(A20&lt;('2. Inputs and results'!$B$21+1),J19*(1+'2. Inputs and results'!$B$68)," ")</f>
        <v>0</v>
      </c>
      <c r="K20" s="4">
        <f>IF('Solution 1, (hidden) (2)'!A20&lt;('2. Inputs and results'!$B$21+1),K19+(G20+I20+H20+J20),NA())</f>
        <v>266742.61488204077</v>
      </c>
      <c r="L20" s="4">
        <f>IF(A20&lt;('2. Inputs and results'!$B$21+1),L19,NA())</f>
        <v>156400</v>
      </c>
      <c r="M20" s="4">
        <f>IF(A20&lt;('2. Inputs and results'!$B$21+1),'2. Inputs and results'!$B$75*'2. Inputs and results'!$B$73," ")</f>
        <v>1840</v>
      </c>
      <c r="N20" s="4">
        <f>IF(A20&lt;('2. Inputs and results'!$B$21+1),M20/((1+$P$2)^A20)," ")</f>
        <v>1021.6866849924256</v>
      </c>
      <c r="O20" s="4">
        <f>IF(A20&lt;('2. Inputs and results'!$B$21+1),'2. Inputs and results'!$B$73*'2. Inputs and results'!$B$75+O19," ")</f>
        <v>182160</v>
      </c>
      <c r="P20" s="4">
        <f>IF(A20&lt;('2. Inputs and results'!$B$21+1),(G20+I20+H20+J20)/((1+$P$2)^A20)," ")</f>
        <v>14386.880684329273</v>
      </c>
      <c r="Q20" s="4">
        <f>IF(A20&lt;('2. Inputs and results'!$B$21+1),Q19+P20," ")</f>
        <v>189504.67626945168</v>
      </c>
      <c r="R20" s="4">
        <f>IF(A20&lt;('2. Inputs and results'!$B$21+1),R19+G20+I20+H20+J20+T20-$V$6,NA())</f>
        <v>57807.077096217938</v>
      </c>
      <c r="S20" s="4">
        <f>IF(A20&lt;('2. Inputs and results'!$B$21+1),'2. Inputs and results'!$B$79*(R19)," ")</f>
        <v>674.74235526544453</v>
      </c>
      <c r="T20" s="4">
        <f t="shared" si="1"/>
        <v>0</v>
      </c>
      <c r="U20" s="4">
        <f>IF(A20&lt;('2. Inputs and results'!$B$21+1),U19+(T20+I20+G20+H20+J20-$V$6)/((1+$P$2)^A20),NA())</f>
        <v>-7811.0308421878981</v>
      </c>
      <c r="V20" s="4">
        <f>IF(A20&lt;('2. Inputs and results'!$B$21+1),V19+('2. Inputs and results'!$B$75*'2. Inputs and results'!$B$73)," ")</f>
        <v>27600</v>
      </c>
      <c r="W20" s="4">
        <f>IF(A20&lt;('2. Inputs and results'!$B$21+1),W19+C20+Y20-$V$6,NA())</f>
        <v>-44131.137379987536</v>
      </c>
      <c r="X20" s="4">
        <f>IF(A20&lt;('2. Inputs and results'!$B$21+1),'2. Inputs and results'!$B$79*W19," ")</f>
        <v>-1053.9438701958341</v>
      </c>
      <c r="Y20" s="4">
        <f t="shared" si="2"/>
        <v>-1053.9438701958341</v>
      </c>
      <c r="Z20" s="4">
        <f>IF(A20&lt;('2. Inputs and results'!$B$21+1),Z19+(C20-$V$6+Y20)/((1+$P$2)^A20),NA())</f>
        <v>-74377.77175361535</v>
      </c>
      <c r="AA20" s="4">
        <f>IF(A20&lt;('2. Inputs and results'!$B$21+1),AA19+(G20+I20+H20+T20-$V$6)," ")</f>
        <v>214207.07709621795</v>
      </c>
      <c r="AB20" s="20">
        <f>IF(A20&lt;('2. Inputs and results'!$B$21+1),AA20/L20,NA())</f>
        <v>1.3696104673671226</v>
      </c>
      <c r="AC20" s="29">
        <f>IF(A20&lt;('2. Inputs and results'!$B$21+1),AC19+(C20+Y20-$V$6)," ")</f>
        <v>112268.86262001249</v>
      </c>
      <c r="AD20" s="20">
        <f>IF(A20&lt;('2. Inputs and results'!$B$21+1),AC20/L20,NA())</f>
        <v>0.71783160242974731</v>
      </c>
      <c r="AE20">
        <f>IF(A20&lt;('2. Inputs and results'!$B$21+1),-'2. Inputs and results'!$B$121*A20," ")</f>
        <v>-306000</v>
      </c>
      <c r="AF20">
        <f>IF(A20&lt;('2. Inputs and results'!$B$21+1),AE20/1000,NA())</f>
        <v>-306</v>
      </c>
    </row>
    <row r="21" spans="1:32" x14ac:dyDescent="0.25">
      <c r="A21">
        <f t="shared" si="0"/>
        <v>16</v>
      </c>
      <c r="B21">
        <f>IF(A21&lt;('2. Inputs and results'!$B$21+1),A21," ")</f>
        <v>16</v>
      </c>
      <c r="C21" s="4">
        <f>IF(A21&lt;('2. Inputs and results'!$B$21+1),'2. Inputs and results'!$B$99+'2. Inputs and results'!$B$101," ")</f>
        <v>11460</v>
      </c>
      <c r="D21" s="4">
        <f>IF(A21&lt;('2. Inputs and results'!$B$21+1),D20+C21,NA())</f>
        <v>183360</v>
      </c>
      <c r="E21" s="4">
        <f>IF(B21&lt;('2. Inputs and results'!$B$21+1),C21/((1+$P$2)^A21)," ")</f>
        <v>6118.5876933597383</v>
      </c>
      <c r="F21" s="4">
        <f>IF(A21&lt;('2. Inputs and results'!$B$21+1),F20+E21," ")</f>
        <v>133535.30766600635</v>
      </c>
      <c r="G21" s="4">
        <f>IF(A21&lt;('2. Inputs and results'!$B$21+1),G20*(1+'2. Inputs and results'!$B$46)," ")</f>
        <v>28039.730859266379</v>
      </c>
      <c r="H21" s="4">
        <f>IF(A21&lt;('2. Inputs and results'!$B$21+1),H20*(1+'2. Inputs and results'!$B$58)," ")</f>
        <v>0</v>
      </c>
      <c r="I21" s="4">
        <f>IF(A21&lt;('2. Inputs and results'!$B$21+1),I20*(1+'2. Inputs and results'!$B$34)," ")</f>
        <v>-575.17396634392594</v>
      </c>
      <c r="J21" s="4">
        <f>IF(A21&lt;('2. Inputs and results'!$B$21+1),J20*(1+'2. Inputs and results'!$B$68)," ")</f>
        <v>0</v>
      </c>
      <c r="K21" s="4">
        <f>IF('Solution 1, (hidden) (2)'!A21&lt;('2. Inputs and results'!$B$21+1),K20+(G21+I21+H21+J21),NA())</f>
        <v>294207.17177496321</v>
      </c>
      <c r="L21" s="4">
        <f>IF(A21&lt;('2. Inputs and results'!$B$21+1),L20,NA())</f>
        <v>156400</v>
      </c>
      <c r="M21" s="4">
        <f>IF(A21&lt;('2. Inputs and results'!$B$21+1),'2. Inputs and results'!$B$75*'2. Inputs and results'!$B$73," ")</f>
        <v>1840</v>
      </c>
      <c r="N21" s="4">
        <f>IF(A21&lt;('2. Inputs and results'!$B$21+1),M21/((1+$P$2)^A21)," ")</f>
        <v>982.39104326194752</v>
      </c>
      <c r="O21" s="4">
        <f>IF(A21&lt;('2. Inputs and results'!$B$21+1),'2. Inputs and results'!$B$73*'2. Inputs and results'!$B$75+O20," ")</f>
        <v>184000</v>
      </c>
      <c r="P21" s="4">
        <f>IF(A21&lt;('2. Inputs and results'!$B$21+1),(G21+I21+H21+J21)/((1+$P$2)^A21)," ")</f>
        <v>14663.551466720219</v>
      </c>
      <c r="Q21" s="4">
        <f>IF(A21&lt;('2. Inputs and results'!$B$21+1),Q20+P21," ")</f>
        <v>204168.22773617189</v>
      </c>
      <c r="R21" s="4">
        <f>IF(A21&lt;('2. Inputs and results'!$B$21+1),R20+G21+I21+H21+J21+T21-$V$6,NA())</f>
        <v>83431.633989140391</v>
      </c>
      <c r="S21" s="4">
        <f>IF(A21&lt;('2. Inputs and results'!$B$21+1),'2. Inputs and results'!$B$79*(R20)," ")</f>
        <v>1156.1415419243588</v>
      </c>
      <c r="T21" s="4">
        <f t="shared" si="1"/>
        <v>0</v>
      </c>
      <c r="U21" s="4">
        <f>IF(A21&lt;('2. Inputs and results'!$B$21+1),U20+(T21+I21+G21+H21+J21-$V$6)/((1+$P$2)^A21),NA())</f>
        <v>5870.1295812703738</v>
      </c>
      <c r="V21" s="4">
        <f>IF(A21&lt;('2. Inputs and results'!$B$21+1),V20+('2. Inputs and results'!$B$75*'2. Inputs and results'!$B$73)," ")</f>
        <v>29440</v>
      </c>
      <c r="W21" s="4">
        <f>IF(A21&lt;('2. Inputs and results'!$B$21+1),W20+C21+Y21-$V$6,NA())</f>
        <v>-35393.760127587288</v>
      </c>
      <c r="X21" s="4">
        <f>IF(A21&lt;('2. Inputs and results'!$B$21+1),'2. Inputs and results'!$B$79*W20," ")</f>
        <v>-882.62274759975071</v>
      </c>
      <c r="Y21" s="4">
        <f t="shared" si="2"/>
        <v>-882.62274759975071</v>
      </c>
      <c r="Z21" s="4">
        <f>IF(A21&lt;('2. Inputs and results'!$B$21+1),Z20+(C21-$V$6+Y21)/((1+$P$2)^A21),NA())</f>
        <v>-69712.814604507366</v>
      </c>
      <c r="AA21" s="4">
        <f>IF(A21&lt;('2. Inputs and results'!$B$21+1),AA20+(G21+I21+H21+T21-$V$6)," ")</f>
        <v>239831.63398914039</v>
      </c>
      <c r="AB21" s="20">
        <f>IF(A21&lt;('2. Inputs and results'!$B$21+1),AA21/L21,NA())</f>
        <v>1.5334503451991073</v>
      </c>
      <c r="AC21" s="29">
        <f>IF(A21&lt;('2. Inputs and results'!$B$21+1),AC20+(C21+Y21-$V$6)," ")</f>
        <v>121006.23987241273</v>
      </c>
      <c r="AD21" s="20">
        <f>IF(A21&lt;('2. Inputs and results'!$B$21+1),AC21/L21,NA())</f>
        <v>0.77369718588499181</v>
      </c>
      <c r="AE21">
        <f>IF(A21&lt;('2. Inputs and results'!$B$21+1),-'2. Inputs and results'!$B$121*A21," ")</f>
        <v>-326400</v>
      </c>
      <c r="AF21">
        <f>IF(A21&lt;('2. Inputs and results'!$B$21+1),AE21/1000,NA())</f>
        <v>-326.39999999999998</v>
      </c>
    </row>
    <row r="22" spans="1:32" x14ac:dyDescent="0.25">
      <c r="A22">
        <f t="shared" si="0"/>
        <v>17</v>
      </c>
      <c r="B22">
        <f>IF(A22&lt;('2. Inputs and results'!$B$21+1),A22," ")</f>
        <v>17</v>
      </c>
      <c r="C22" s="4">
        <f>IF(A22&lt;('2. Inputs and results'!$B$21+1),'2. Inputs and results'!$B$99+'2. Inputs and results'!$B$101," ")</f>
        <v>11460</v>
      </c>
      <c r="D22" s="4">
        <f>IF(A22&lt;('2. Inputs and results'!$B$21+1),D21+C22,NA())</f>
        <v>194820</v>
      </c>
      <c r="E22" s="4">
        <f>IF(B22&lt;('2. Inputs and results'!$B$21+1),C22/((1+$P$2)^A22)," ")</f>
        <v>5883.2573974612869</v>
      </c>
      <c r="F22" s="4">
        <f>IF(A22&lt;('2. Inputs and results'!$B$21+1),F21+E22," ")</f>
        <v>139418.56506346763</v>
      </c>
      <c r="G22" s="4">
        <f>IF(A22&lt;('2. Inputs and results'!$B$21+1),G21*(1+'2. Inputs and results'!$B$46)," ")</f>
        <v>29722.114710822363</v>
      </c>
      <c r="H22" s="4">
        <f>IF(A22&lt;('2. Inputs and results'!$B$21+1),H21*(1+'2. Inputs and results'!$B$58)," ")</f>
        <v>0</v>
      </c>
      <c r="I22" s="4">
        <f>IF(A22&lt;('2. Inputs and results'!$B$21+1),I21*(1+'2. Inputs and results'!$B$34)," ")</f>
        <v>-609.68440432456157</v>
      </c>
      <c r="J22" s="4">
        <f>IF(A22&lt;('2. Inputs and results'!$B$21+1),J21*(1+'2. Inputs and results'!$B$68)," ")</f>
        <v>0</v>
      </c>
      <c r="K22" s="4">
        <f>IF('Solution 1, (hidden) (2)'!A22&lt;('2. Inputs and results'!$B$21+1),K21+(G22+I22+H22+J22),NA())</f>
        <v>323319.60208146099</v>
      </c>
      <c r="L22" s="4">
        <f>IF(A22&lt;('2. Inputs and results'!$B$21+1),L21,NA())</f>
        <v>156400</v>
      </c>
      <c r="M22" s="4">
        <f>IF(A22&lt;('2. Inputs and results'!$B$21+1),'2. Inputs and results'!$B$75*'2. Inputs and results'!$B$73," ")</f>
        <v>1840</v>
      </c>
      <c r="N22" s="4">
        <f>IF(A22&lt;('2. Inputs and results'!$B$21+1),M22/((1+$P$2)^A22)," ")</f>
        <v>944.60677236725724</v>
      </c>
      <c r="O22" s="4">
        <f>IF(A22&lt;('2. Inputs and results'!$B$21+1),'2. Inputs and results'!$B$73*'2. Inputs and results'!$B$75+O21," ")</f>
        <v>185840</v>
      </c>
      <c r="P22" s="4">
        <f>IF(A22&lt;('2. Inputs and results'!$B$21+1),(G22+I22+H22+J22)/((1+$P$2)^A22)," ")</f>
        <v>14945.542841080223</v>
      </c>
      <c r="Q22" s="4">
        <f>IF(A22&lt;('2. Inputs and results'!$B$21+1),Q21+P22," ")</f>
        <v>219113.77057725211</v>
      </c>
      <c r="R22" s="4">
        <f>IF(A22&lt;('2. Inputs and results'!$B$21+1),R21+G22+I22+H22+J22+T22-$V$6,NA())</f>
        <v>110704.06429563819</v>
      </c>
      <c r="S22" s="4">
        <f>IF(A22&lt;('2. Inputs and results'!$B$21+1),'2. Inputs and results'!$B$79*(R21)," ")</f>
        <v>1668.6326797828078</v>
      </c>
      <c r="T22" s="4">
        <f t="shared" si="1"/>
        <v>0</v>
      </c>
      <c r="U22" s="4">
        <f>IF(A22&lt;('2. Inputs and results'!$B$21+1),U21+(T22+I22+G22+H22+J22-$V$6)/((1+$P$2)^A22),NA())</f>
        <v>19871.065649983339</v>
      </c>
      <c r="V22" s="4">
        <f>IF(A22&lt;('2. Inputs and results'!$B$21+1),V21+('2. Inputs and results'!$B$75*'2. Inputs and results'!$B$73)," ")</f>
        <v>31280</v>
      </c>
      <c r="W22" s="4">
        <f>IF(A22&lt;('2. Inputs and results'!$B$21+1),W21+C22+Y22-$V$6,NA())</f>
        <v>-26481.635330139034</v>
      </c>
      <c r="X22" s="4">
        <f>IF(A22&lt;('2. Inputs and results'!$B$21+1),'2. Inputs and results'!$B$79*W21," ")</f>
        <v>-707.87520255174582</v>
      </c>
      <c r="Y22" s="4">
        <f t="shared" si="2"/>
        <v>-707.87520255174582</v>
      </c>
      <c r="Z22" s="4">
        <f>IF(A22&lt;('2. Inputs and results'!$B$21+1),Z21+(C22-$V$6+Y22)/((1+$P$2)^A22),NA())</f>
        <v>-65137.568169805309</v>
      </c>
      <c r="AA22" s="4">
        <f>IF(A22&lt;('2. Inputs and results'!$B$21+1),AA21+(G22+I22+H22+T22-$V$6)," ")</f>
        <v>267104.06429563818</v>
      </c>
      <c r="AB22" s="20">
        <f>IF(A22&lt;('2. Inputs and results'!$B$21+1),AA22/L22,NA())</f>
        <v>1.7078264980539526</v>
      </c>
      <c r="AC22" s="29">
        <f>IF(A22&lt;('2. Inputs and results'!$B$21+1),AC21+(C22+Y22-$V$6)," ")</f>
        <v>129918.36466986098</v>
      </c>
      <c r="AD22" s="20">
        <f>IF(A22&lt;('2. Inputs and results'!$B$21+1),AC22/L22,NA())</f>
        <v>0.83068008100934132</v>
      </c>
      <c r="AE22">
        <f>IF(A22&lt;('2. Inputs and results'!$B$21+1),-'2. Inputs and results'!$B$121*A22," ")</f>
        <v>-346800</v>
      </c>
      <c r="AF22">
        <f>IF(A22&lt;('2. Inputs and results'!$B$21+1),AE22/1000,NA())</f>
        <v>-346.8</v>
      </c>
    </row>
    <row r="23" spans="1:32" x14ac:dyDescent="0.25">
      <c r="A23">
        <f t="shared" si="0"/>
        <v>18</v>
      </c>
      <c r="B23">
        <f>IF(A23&lt;('2. Inputs and results'!$B$21+1),A23," ")</f>
        <v>18</v>
      </c>
      <c r="C23" s="4">
        <f>IF(A23&lt;('2. Inputs and results'!$B$21+1),'2. Inputs and results'!$B$99+'2. Inputs and results'!$B$101," ")</f>
        <v>11460</v>
      </c>
      <c r="D23" s="4">
        <f>IF(A23&lt;('2. Inputs and results'!$B$21+1),D22+C23,NA())</f>
        <v>206280</v>
      </c>
      <c r="E23" s="4">
        <f>IF(B23&lt;('2. Inputs and results'!$B$21+1),C23/((1+$P$2)^A23)," ")</f>
        <v>5656.978266789698</v>
      </c>
      <c r="F23" s="4">
        <f>IF(A23&lt;('2. Inputs and results'!$B$21+1),F22+E23," ")</f>
        <v>145075.54333025732</v>
      </c>
      <c r="G23" s="4">
        <f>IF(A23&lt;('2. Inputs and results'!$B$21+1),G22*(1+'2. Inputs and results'!$B$46)," ")</f>
        <v>31505.441593471707</v>
      </c>
      <c r="H23" s="4">
        <f>IF(A23&lt;('2. Inputs and results'!$B$21+1),H22*(1+'2. Inputs and results'!$B$58)," ")</f>
        <v>0</v>
      </c>
      <c r="I23" s="4">
        <f>IF(A23&lt;('2. Inputs and results'!$B$21+1),I22*(1+'2. Inputs and results'!$B$34)," ")</f>
        <v>-646.26546858403526</v>
      </c>
      <c r="J23" s="4">
        <f>IF(A23&lt;('2. Inputs and results'!$B$21+1),J22*(1+'2. Inputs and results'!$B$68)," ")</f>
        <v>0</v>
      </c>
      <c r="K23" s="4">
        <f>IF('Solution 1, (hidden) (2)'!A23&lt;('2. Inputs and results'!$B$21+1),K22+(G23+I23+H23+J23),NA())</f>
        <v>354178.77820634865</v>
      </c>
      <c r="L23" s="4">
        <f>IF(A23&lt;('2. Inputs and results'!$B$21+1),L22,NA())</f>
        <v>156400</v>
      </c>
      <c r="M23" s="4">
        <f>IF(A23&lt;('2. Inputs and results'!$B$21+1),'2. Inputs and results'!$B$75*'2. Inputs and results'!$B$73," ")</f>
        <v>1840</v>
      </c>
      <c r="N23" s="4">
        <f>IF(A23&lt;('2. Inputs and results'!$B$21+1),M23/((1+$P$2)^A23)," ")</f>
        <v>908.27574266082422</v>
      </c>
      <c r="O23" s="4">
        <f>IF(A23&lt;('2. Inputs and results'!$B$21+1),'2. Inputs and results'!$B$73*'2. Inputs and results'!$B$75+O22," ")</f>
        <v>187680</v>
      </c>
      <c r="P23" s="4">
        <f>IF(A23&lt;('2. Inputs and results'!$B$21+1),(G23+I23+H23+J23)/((1+$P$2)^A23)," ")</f>
        <v>15232.957126485611</v>
      </c>
      <c r="Q23" s="4">
        <f>IF(A23&lt;('2. Inputs and results'!$B$21+1),Q22+P23," ")</f>
        <v>234346.72770373774</v>
      </c>
      <c r="R23" s="4">
        <f>IF(A23&lt;('2. Inputs and results'!$B$21+1),R22+G23+I23+H23+J23+T23-$V$6,NA())</f>
        <v>139723.24042052586</v>
      </c>
      <c r="S23" s="4">
        <f>IF(A23&lt;('2. Inputs and results'!$B$21+1),'2. Inputs and results'!$B$79*(R22)," ")</f>
        <v>2214.0812859127641</v>
      </c>
      <c r="T23" s="4">
        <f t="shared" si="1"/>
        <v>0</v>
      </c>
      <c r="U23" s="4">
        <f>IF(A23&lt;('2. Inputs and results'!$B$21+1),U22+(T23+I23+G23+H23+J23-$V$6)/((1+$P$2)^A23),NA())</f>
        <v>34195.747033808126</v>
      </c>
      <c r="V23" s="4">
        <f>IF(A23&lt;('2. Inputs and results'!$B$21+1),V22+('2. Inputs and results'!$B$75*'2. Inputs and results'!$B$73)," ")</f>
        <v>33120</v>
      </c>
      <c r="W23" s="4">
        <f>IF(A23&lt;('2. Inputs and results'!$B$21+1),W22+C23+Y23-$V$6,NA())</f>
        <v>-17391.268036741814</v>
      </c>
      <c r="X23" s="4">
        <f>IF(A23&lt;('2. Inputs and results'!$B$21+1),'2. Inputs and results'!$B$79*W22," ")</f>
        <v>-529.63270660278067</v>
      </c>
      <c r="Y23" s="4">
        <f t="shared" si="2"/>
        <v>-529.63270660278067</v>
      </c>
      <c r="Z23" s="4">
        <f>IF(A23&lt;('2. Inputs and results'!$B$21+1),Z22+(C23-$V$6+Y23)/((1+$P$2)^A23),NA())</f>
        <v>-60650.307243462899</v>
      </c>
      <c r="AA23" s="4">
        <f>IF(A23&lt;('2. Inputs and results'!$B$21+1),AA22+(G23+I23+H23+T23-$V$6)," ")</f>
        <v>296123.24042052584</v>
      </c>
      <c r="AB23" s="20">
        <f>IF(A23&lt;('2. Inputs and results'!$B$21+1),AA23/L23,NA())</f>
        <v>1.8933711024330295</v>
      </c>
      <c r="AC23" s="29">
        <f>IF(A23&lt;('2. Inputs and results'!$B$21+1),AC22+(C23+Y23-$V$6)," ")</f>
        <v>139008.73196325821</v>
      </c>
      <c r="AD23" s="20">
        <f>IF(A23&lt;('2. Inputs and results'!$B$21+1),AC23/L23,NA())</f>
        <v>0.88880263403617776</v>
      </c>
      <c r="AE23">
        <f>IF(A23&lt;('2. Inputs and results'!$B$21+1),-'2. Inputs and results'!$B$121*A23," ")</f>
        <v>-367200</v>
      </c>
      <c r="AF23">
        <f>IF(A23&lt;('2. Inputs and results'!$B$21+1),AE23/1000,NA())</f>
        <v>-367.2</v>
      </c>
    </row>
    <row r="24" spans="1:32" x14ac:dyDescent="0.25">
      <c r="A24">
        <f t="shared" si="0"/>
        <v>19</v>
      </c>
      <c r="B24">
        <f>IF(A24&lt;('2. Inputs and results'!$B$21+1),A24," ")</f>
        <v>19</v>
      </c>
      <c r="C24" s="4">
        <f>IF(A24&lt;('2. Inputs and results'!$B$21+1),'2. Inputs and results'!$B$99+'2. Inputs and results'!$B$101," ")</f>
        <v>11460</v>
      </c>
      <c r="D24" s="4">
        <f>IF(A24&lt;('2. Inputs and results'!$B$21+1),D23+C24,NA())</f>
        <v>217740</v>
      </c>
      <c r="E24" s="4">
        <f>IF(B24&lt;('2. Inputs and results'!$B$21+1),C24/((1+$P$2)^A24)," ")</f>
        <v>5439.4021796054794</v>
      </c>
      <c r="F24" s="4">
        <f>IF(A24&lt;('2. Inputs and results'!$B$21+1),F23+E24," ")</f>
        <v>150514.9455098628</v>
      </c>
      <c r="G24" s="4">
        <f>IF(A24&lt;('2. Inputs and results'!$B$21+1),G23*(1+'2. Inputs and results'!$B$46)," ")</f>
        <v>33395.768089080011</v>
      </c>
      <c r="H24" s="4">
        <f>IF(A24&lt;('2. Inputs and results'!$B$21+1),H23*(1+'2. Inputs and results'!$B$58)," ")</f>
        <v>0</v>
      </c>
      <c r="I24" s="4">
        <f>IF(A24&lt;('2. Inputs and results'!$B$21+1),I23*(1+'2. Inputs and results'!$B$34)," ")</f>
        <v>-685.04139669907738</v>
      </c>
      <c r="J24" s="4">
        <f>IF(A24&lt;('2. Inputs and results'!$B$21+1),J23*(1+'2. Inputs and results'!$B$68)," ")</f>
        <v>0</v>
      </c>
      <c r="K24" s="4">
        <f>IF('Solution 1, (hidden) (2)'!A24&lt;('2. Inputs and results'!$B$21+1),K23+(G24+I24+H24+J24),NA())</f>
        <v>386889.50489872956</v>
      </c>
      <c r="L24" s="4">
        <f>IF(A24&lt;('2. Inputs and results'!$B$21+1),L23,NA())</f>
        <v>156400</v>
      </c>
      <c r="M24" s="4">
        <f>IF(A24&lt;('2. Inputs and results'!$B$21+1),'2. Inputs and results'!$B$75*'2. Inputs and results'!$B$73," ")</f>
        <v>1840</v>
      </c>
      <c r="N24" s="4">
        <f>IF(A24&lt;('2. Inputs and results'!$B$21+1),M24/((1+$P$2)^A24)," ")</f>
        <v>873.34206025079254</v>
      </c>
      <c r="O24" s="4">
        <f>IF(A24&lt;('2. Inputs and results'!$B$21+1),'2. Inputs and results'!$B$73*'2. Inputs and results'!$B$75+O23," ")</f>
        <v>189520</v>
      </c>
      <c r="P24" s="4">
        <f>IF(A24&lt;('2. Inputs and results'!$B$21+1),(G24+I24+H24+J24)/((1+$P$2)^A24)," ")</f>
        <v>15525.898609687258</v>
      </c>
      <c r="Q24" s="4">
        <f>IF(A24&lt;('2. Inputs and results'!$B$21+1),Q23+P24," ")</f>
        <v>249872.62631342499</v>
      </c>
      <c r="R24" s="4">
        <f>IF(A24&lt;('2. Inputs and results'!$B$21+1),R23+G24+I24+H24+J24+T24-$V$6,NA())</f>
        <v>170593.9671129068</v>
      </c>
      <c r="S24" s="4">
        <f>IF(A24&lt;('2. Inputs and results'!$B$21+1),'2. Inputs and results'!$B$79*(R23)," ")</f>
        <v>2794.4648084105174</v>
      </c>
      <c r="T24" s="4">
        <f t="shared" si="1"/>
        <v>0</v>
      </c>
      <c r="U24" s="4">
        <f>IF(A24&lt;('2. Inputs and results'!$B$21+1),U23+(T24+I24+G24+H24+J24-$V$6)/((1+$P$2)^A24),NA())</f>
        <v>48848.303583244589</v>
      </c>
      <c r="V24" s="4">
        <f>IF(A24&lt;('2. Inputs and results'!$B$21+1),V23+('2. Inputs and results'!$B$75*'2. Inputs and results'!$B$73)," ")</f>
        <v>34960</v>
      </c>
      <c r="W24" s="4">
        <f>IF(A24&lt;('2. Inputs and results'!$B$21+1),W23+C24+Y24-$V$6,NA())</f>
        <v>-8119.0933974766504</v>
      </c>
      <c r="X24" s="4">
        <f>IF(A24&lt;('2. Inputs and results'!$B$21+1),'2. Inputs and results'!$B$79*W23," ")</f>
        <v>-347.82536073483629</v>
      </c>
      <c r="Y24" s="4">
        <f t="shared" si="2"/>
        <v>-347.82536073483629</v>
      </c>
      <c r="Z24" s="4">
        <f>IF(A24&lt;('2. Inputs and results'!$B$21+1),Z23+(C24-$V$6+Y24)/((1+$P$2)^A24),NA())</f>
        <v>-56249.339796473228</v>
      </c>
      <c r="AA24" s="4">
        <f>IF(A24&lt;('2. Inputs and results'!$B$21+1),AA23+(G24+I24+H24+T24-$V$6)," ")</f>
        <v>326993.96711290674</v>
      </c>
      <c r="AB24" s="20">
        <f>IF(A24&lt;('2. Inputs and results'!$B$21+1),AA24/L24,NA())</f>
        <v>2.0907542654277926</v>
      </c>
      <c r="AC24" s="29">
        <f>IF(A24&lt;('2. Inputs and results'!$B$21+1),AC23+(C24+Y24-$V$6)," ")</f>
        <v>148280.90660252338</v>
      </c>
      <c r="AD24" s="20">
        <f>IF(A24&lt;('2. Inputs and results'!$B$21+1),AC24/L24,NA())</f>
        <v>0.94808763812355101</v>
      </c>
      <c r="AE24">
        <f>IF(A24&lt;('2. Inputs and results'!$B$21+1),-'2. Inputs and results'!$B$121*A24," ")</f>
        <v>-387600</v>
      </c>
      <c r="AF24">
        <f>IF(A24&lt;('2. Inputs and results'!$B$21+1),AE24/1000,NA())</f>
        <v>-387.6</v>
      </c>
    </row>
    <row r="25" spans="1:32" x14ac:dyDescent="0.25">
      <c r="A25">
        <f t="shared" si="0"/>
        <v>20</v>
      </c>
      <c r="B25">
        <f>IF(A25&lt;('2. Inputs and results'!$B$21+1),A25," ")</f>
        <v>20</v>
      </c>
      <c r="C25" s="4">
        <f>IF(A25&lt;('2. Inputs and results'!$B$21+1),'2. Inputs and results'!$B$99+'2. Inputs and results'!$B$101," ")</f>
        <v>11460</v>
      </c>
      <c r="D25" s="4">
        <f>IF(A25&lt;('2. Inputs and results'!$B$21+1),D24+C25,NA())</f>
        <v>229200</v>
      </c>
      <c r="E25" s="4">
        <f>IF(B25&lt;('2. Inputs and results'!$B$21+1),C25/((1+$P$2)^A25)," ")</f>
        <v>5230.1944034668068</v>
      </c>
      <c r="F25" s="4">
        <f>IF(A25&lt;('2. Inputs and results'!$B$21+1),F24+E25," ")</f>
        <v>155745.13991332959</v>
      </c>
      <c r="G25" s="4">
        <f>IF(A25&lt;('2. Inputs and results'!$B$21+1),G24*(1+'2. Inputs and results'!$B$46)," ")</f>
        <v>35399.51417442481</v>
      </c>
      <c r="H25" s="4">
        <f>IF(A25&lt;('2. Inputs and results'!$B$21+1),H24*(1+'2. Inputs and results'!$B$58)," ")</f>
        <v>0</v>
      </c>
      <c r="I25" s="4">
        <f>IF(A25&lt;('2. Inputs and results'!$B$21+1),I24*(1+'2. Inputs and results'!$B$34)," ")</f>
        <v>-726.14388050102207</v>
      </c>
      <c r="J25" s="4">
        <f>IF(A25&lt;('2. Inputs and results'!$B$21+1),J24*(1+'2. Inputs and results'!$B$68)," ")</f>
        <v>0</v>
      </c>
      <c r="K25" s="4">
        <f>IF('Solution 1, (hidden) (2)'!A25&lt;('2. Inputs and results'!$B$21+1),K24+(G25+I25+H25+J25),NA())</f>
        <v>421562.87519265333</v>
      </c>
      <c r="L25" s="4">
        <f>IF(A25&lt;('2. Inputs and results'!$B$21+1),L24,NA())</f>
        <v>156400</v>
      </c>
      <c r="M25" s="4">
        <f>IF(A25&lt;('2. Inputs and results'!$B$21+1),'2. Inputs and results'!$B$75*'2. Inputs and results'!$B$73," ")</f>
        <v>1840</v>
      </c>
      <c r="N25" s="4">
        <f>IF(A25&lt;('2. Inputs and results'!$B$21+1),M25/((1+$P$2)^A25)," ")</f>
        <v>839.75198101037745</v>
      </c>
      <c r="O25" s="4">
        <f>IF(A25&lt;('2. Inputs and results'!$B$21+1),'2. Inputs and results'!$B$73*'2. Inputs and results'!$B$75+O24," ")</f>
        <v>191360</v>
      </c>
      <c r="P25" s="4">
        <f>IF(A25&lt;('2. Inputs and results'!$B$21+1),(G25+I25+H25+J25)/((1+$P$2)^A25)," ")</f>
        <v>15824.473582950473</v>
      </c>
      <c r="Q25" s="4">
        <f>IF(A25&lt;('2. Inputs and results'!$B$21+1),Q24+P25," ")</f>
        <v>265697.09989637544</v>
      </c>
      <c r="R25" s="4">
        <f>IF(A25&lt;('2. Inputs and results'!$B$21+1),R24+G25+I25+H25+J25+T25-$V$6,NA())</f>
        <v>203427.3374068306</v>
      </c>
      <c r="S25" s="4">
        <f>IF(A25&lt;('2. Inputs and results'!$B$21+1),'2. Inputs and results'!$B$79*(R24)," ")</f>
        <v>3411.8793422581361</v>
      </c>
      <c r="T25" s="4">
        <f t="shared" si="1"/>
        <v>0</v>
      </c>
      <c r="U25" s="4">
        <f>IF(A25&lt;('2. Inputs and results'!$B$21+1),U24+(T25+I25+G25+H25+J25-$V$6)/((1+$P$2)^A25),NA())</f>
        <v>63833.025185184684</v>
      </c>
      <c r="V25" s="4">
        <f>IF(A25&lt;('2. Inputs and results'!$B$21+1),V24+('2. Inputs and results'!$B$75*'2. Inputs and results'!$B$73)," ")</f>
        <v>36800</v>
      </c>
      <c r="W25" s="4">
        <f>IF(A25&lt;('2. Inputs and results'!$B$21+1),W24+C25+Y25-$V$6,NA())</f>
        <v>1338.5247345738167</v>
      </c>
      <c r="X25" s="4">
        <f>IF(A25&lt;('2. Inputs and results'!$B$21+1),'2. Inputs and results'!$B$79*W24," ")</f>
        <v>-162.38186794953302</v>
      </c>
      <c r="Y25" s="4">
        <f t="shared" si="2"/>
        <v>-162.38186794953302</v>
      </c>
      <c r="Z25" s="4">
        <f>IF(A25&lt;('2. Inputs and results'!$B$21+1),Z24+(C25-$V$6+Y25)/((1+$P$2)^A25),NA())</f>
        <v>-51933.006338848747</v>
      </c>
      <c r="AA25" s="4">
        <f>IF(A25&lt;('2. Inputs and results'!$B$21+1),AA24+(G25+I25+H25+T25-$V$6)," ")</f>
        <v>359827.33740683051</v>
      </c>
      <c r="AB25" s="20">
        <f>IF(A25&lt;('2. Inputs and results'!$B$21+1),AA25/L25,NA())</f>
        <v>2.3006863005551823</v>
      </c>
      <c r="AC25" s="29">
        <f>IF(A25&lt;('2. Inputs and results'!$B$21+1),AC24+(C25+Y25-$V$6)," ")</f>
        <v>157738.52473457385</v>
      </c>
      <c r="AD25" s="20">
        <f>IF(A25&lt;('2. Inputs and results'!$B$21+1),AC25/L25,NA())</f>
        <v>1.0085583422926716</v>
      </c>
      <c r="AE25">
        <f>IF(A25&lt;('2. Inputs and results'!$B$21+1),-'2. Inputs and results'!$B$121*A25," ")</f>
        <v>-408000</v>
      </c>
      <c r="AF25">
        <f>IF(A25&lt;('2. Inputs and results'!$B$21+1),AE25/1000,NA())</f>
        <v>-408</v>
      </c>
    </row>
    <row r="26" spans="1:32" x14ac:dyDescent="0.25">
      <c r="A26">
        <f t="shared" si="0"/>
        <v>21</v>
      </c>
      <c r="B26" t="str">
        <f>IF(A26&lt;('2. Inputs and results'!$B$21+1),A26," ")</f>
        <v xml:space="preserve"> </v>
      </c>
      <c r="C26" s="4" t="str">
        <f>IF(A26&lt;('2. Inputs and results'!$B$21+1),'2. Inputs and results'!$B$99+'2. Inputs and results'!$B$101," ")</f>
        <v xml:space="preserve"> </v>
      </c>
      <c r="D26" s="4" t="e">
        <f>IF(A26&lt;('2. Inputs and results'!$B$21+1),D25+C26,NA())</f>
        <v>#N/A</v>
      </c>
      <c r="E26" s="4" t="str">
        <f>IF(B26&lt;('2. Inputs and results'!$B$21+1),C26/((1+$P$2)^A26)," ")</f>
        <v xml:space="preserve"> </v>
      </c>
      <c r="F26" s="4" t="str">
        <f>IF(A26&lt;('2. Inputs and results'!$B$21+1),F25+E26," ")</f>
        <v xml:space="preserve"> </v>
      </c>
      <c r="G26" s="4" t="str">
        <f>IF(A26&lt;('2. Inputs and results'!$B$21+1),G25*(1+'2. Inputs and results'!$B$46)," ")</f>
        <v xml:space="preserve"> </v>
      </c>
      <c r="H26" s="4" t="str">
        <f>IF(A26&lt;('2. Inputs and results'!$B$21+1),H25*(1+'2. Inputs and results'!$B$58)," ")</f>
        <v xml:space="preserve"> </v>
      </c>
      <c r="I26" s="4" t="str">
        <f>IF(A26&lt;('2. Inputs and results'!$B$21+1),I25*(1+'2. Inputs and results'!$B$34)," ")</f>
        <v xml:space="preserve"> </v>
      </c>
      <c r="J26" s="4" t="str">
        <f>IF(A26&lt;('2. Inputs and results'!$B$21+1),J25*(1+'2. Inputs and results'!$B$68)," ")</f>
        <v xml:space="preserve"> </v>
      </c>
      <c r="K26" s="4" t="e">
        <f>IF('Solution 1, (hidden) (2)'!A26&lt;('2. Inputs and results'!$B$21+1),K25+(G26+I26+H26+J26),NA())</f>
        <v>#N/A</v>
      </c>
      <c r="L26" s="4" t="e">
        <f>IF(A26&lt;('2. Inputs and results'!$B$21+1),L25,NA())</f>
        <v>#N/A</v>
      </c>
      <c r="M26" s="4" t="str">
        <f>IF(A26&lt;('2. Inputs and results'!$B$21+1),'2. Inputs and results'!$B$75*'2. Inputs and results'!$B$73," ")</f>
        <v xml:space="preserve"> </v>
      </c>
      <c r="N26" s="4" t="str">
        <f>IF(A26&lt;('2. Inputs and results'!$B$21+1),M26/((1+$P$2)^A26)," ")</f>
        <v xml:space="preserve"> </v>
      </c>
      <c r="O26" s="4" t="str">
        <f>IF(A26&lt;('2. Inputs and results'!$B$21+1),'2. Inputs and results'!$B$73*'2. Inputs and results'!$B$75+O25," ")</f>
        <v xml:space="preserve"> </v>
      </c>
      <c r="P26" s="4" t="str">
        <f>IF(A26&lt;('2. Inputs and results'!$B$21+1),(G26+I26+H26+J26)/((1+$P$2)^A26)," ")</f>
        <v xml:space="preserve"> </v>
      </c>
      <c r="Q26" s="4" t="str">
        <f>IF(A26&lt;('2. Inputs and results'!$B$21+1),Q25+P26," ")</f>
        <v xml:space="preserve"> </v>
      </c>
      <c r="R26" s="4" t="e">
        <f>IF(A26&lt;('2. Inputs and results'!$B$21+1),R25+G26+I26+H26+J26+T26-$V$6,NA())</f>
        <v>#N/A</v>
      </c>
      <c r="S26" s="4" t="str">
        <f>IF(A26&lt;('2. Inputs and results'!$B$21+1),'2. Inputs and results'!$B$79*(R25)," ")</f>
        <v xml:space="preserve"> </v>
      </c>
      <c r="T26" s="4">
        <f t="shared" si="1"/>
        <v>0</v>
      </c>
      <c r="U26" s="4" t="e">
        <f>IF(A26&lt;('2. Inputs and results'!$B$21+1),U25+(T26+I26+G26+H26+J26-$V$6)/((1+$P$2)^A26),NA())</f>
        <v>#N/A</v>
      </c>
      <c r="V26" s="4" t="str">
        <f>IF(A26&lt;('2. Inputs and results'!$B$21+1),V25+('2. Inputs and results'!$B$75*'2. Inputs and results'!$B$73)," ")</f>
        <v xml:space="preserve"> </v>
      </c>
      <c r="W26" s="4" t="e">
        <f>IF(A26&lt;('2. Inputs and results'!$B$21+1),W25+C26+Y26-$V$6,NA())</f>
        <v>#N/A</v>
      </c>
      <c r="X26" s="4" t="str">
        <f>IF(A26&lt;('2. Inputs and results'!$B$21+1),'2. Inputs and results'!$B$79*W25," ")</f>
        <v xml:space="preserve"> </v>
      </c>
      <c r="Y26" s="4">
        <f t="shared" si="2"/>
        <v>0</v>
      </c>
      <c r="Z26" s="4" t="e">
        <f>IF(A26&lt;('2. Inputs and results'!$B$21+1),Z25+(C26-$V$6+Y26)/((1+$P$2)^A26),NA())</f>
        <v>#N/A</v>
      </c>
      <c r="AA26" s="4" t="str">
        <f>IF(A26&lt;('2. Inputs and results'!$B$21+1),AA25+(G26+I26+H26+T26-$V$6)," ")</f>
        <v xml:space="preserve"> </v>
      </c>
      <c r="AB26" s="20" t="e">
        <f>IF(A26&lt;('2. Inputs and results'!$B$21+1),AA26/L26,NA())</f>
        <v>#N/A</v>
      </c>
      <c r="AC26" s="29" t="str">
        <f>IF(A26&lt;('2. Inputs and results'!$B$21+1),AC25+(C26+Y26-$V$6)," ")</f>
        <v xml:space="preserve"> </v>
      </c>
      <c r="AD26" s="20" t="e">
        <f>IF(A26&lt;('2. Inputs and results'!$B$21+1),AC26/L26,NA())</f>
        <v>#N/A</v>
      </c>
      <c r="AE26" t="str">
        <f>IF(A26&lt;('2. Inputs and results'!$B$21+1),-'2. Inputs and results'!$B$121*A26," ")</f>
        <v xml:space="preserve"> </v>
      </c>
      <c r="AF26" t="e">
        <f>IF(A26&lt;('2. Inputs and results'!$B$21+1),AE26/1000,NA())</f>
        <v>#N/A</v>
      </c>
    </row>
    <row r="27" spans="1:32" x14ac:dyDescent="0.25">
      <c r="A27">
        <f t="shared" si="0"/>
        <v>22</v>
      </c>
      <c r="B27" t="str">
        <f>IF(A27&lt;('2. Inputs and results'!$B$21+1),A27," ")</f>
        <v xml:space="preserve"> </v>
      </c>
      <c r="C27" s="4" t="str">
        <f>IF(A27&lt;('2. Inputs and results'!$B$21+1),'2. Inputs and results'!$B$99+'2. Inputs and results'!$B$101," ")</f>
        <v xml:space="preserve"> </v>
      </c>
      <c r="D27" s="4" t="e">
        <f>IF(A27&lt;('2. Inputs and results'!$B$21+1),D26+C27,NA())</f>
        <v>#N/A</v>
      </c>
      <c r="E27" s="4" t="str">
        <f>IF(B27&lt;('2. Inputs and results'!$B$21+1),C27/((1+$P$2)^A27)," ")</f>
        <v xml:space="preserve"> </v>
      </c>
      <c r="F27" s="4" t="str">
        <f>IF(A27&lt;('2. Inputs and results'!$B$21+1),F26+E27," ")</f>
        <v xml:space="preserve"> </v>
      </c>
      <c r="G27" s="4" t="str">
        <f>IF(A27&lt;('2. Inputs and results'!$B$21+1),G26*(1+'2. Inputs and results'!$B$46)," ")</f>
        <v xml:space="preserve"> </v>
      </c>
      <c r="H27" s="4" t="str">
        <f>IF(A27&lt;('2. Inputs and results'!$B$21+1),H26*(1+'2. Inputs and results'!$B$58)," ")</f>
        <v xml:space="preserve"> </v>
      </c>
      <c r="I27" s="4" t="str">
        <f>IF(A27&lt;('2. Inputs and results'!$B$21+1),I26*(1+'2. Inputs and results'!$B$34)," ")</f>
        <v xml:space="preserve"> </v>
      </c>
      <c r="J27" s="4" t="str">
        <f>IF(A27&lt;('2. Inputs and results'!$B$21+1),J26*(1+'2. Inputs and results'!$B$68)," ")</f>
        <v xml:space="preserve"> </v>
      </c>
      <c r="K27" s="4" t="e">
        <f>IF('Solution 1, (hidden) (2)'!A27&lt;('2. Inputs and results'!$B$21+1),K26+(G27+I27+H27+J27),NA())</f>
        <v>#N/A</v>
      </c>
      <c r="L27" s="4" t="e">
        <f>IF(A27&lt;('2. Inputs and results'!$B$21+1),L26,NA())</f>
        <v>#N/A</v>
      </c>
      <c r="M27" s="4" t="str">
        <f>IF(A27&lt;('2. Inputs and results'!$B$21+1),'2. Inputs and results'!$B$75*'2. Inputs and results'!$B$73," ")</f>
        <v xml:space="preserve"> </v>
      </c>
      <c r="N27" s="4" t="str">
        <f>IF(A27&lt;('2. Inputs and results'!$B$21+1),M27/((1+$P$2)^A27)," ")</f>
        <v xml:space="preserve"> </v>
      </c>
      <c r="O27" s="4" t="str">
        <f>IF(A27&lt;('2. Inputs and results'!$B$21+1),'2. Inputs and results'!$B$73*'2. Inputs and results'!$B$75+O26," ")</f>
        <v xml:space="preserve"> </v>
      </c>
      <c r="P27" s="4" t="str">
        <f>IF(A27&lt;('2. Inputs and results'!$B$21+1),(G27+I27+H27+J27)/((1+$P$2)^A27)," ")</f>
        <v xml:space="preserve"> </v>
      </c>
      <c r="Q27" s="4" t="str">
        <f>IF(A27&lt;('2. Inputs and results'!$B$21+1),Q26+P27," ")</f>
        <v xml:space="preserve"> </v>
      </c>
      <c r="R27" s="4" t="e">
        <f>IF(A27&lt;('2. Inputs and results'!$B$21+1),R26+G27+I27+H27+J27+T27-$V$6,NA())</f>
        <v>#N/A</v>
      </c>
      <c r="S27" s="4" t="str">
        <f>IF(A27&lt;('2. Inputs and results'!$B$21+1),'2. Inputs and results'!$B$79*(R26)," ")</f>
        <v xml:space="preserve"> </v>
      </c>
      <c r="T27" s="4">
        <f t="shared" si="1"/>
        <v>0</v>
      </c>
      <c r="U27" s="4" t="e">
        <f>IF(A27&lt;('2. Inputs and results'!$B$21+1),U26+(T27+I27+G27+H27+J27-$V$6)/((1+$P$2)^A27),NA())</f>
        <v>#N/A</v>
      </c>
      <c r="V27" s="4" t="str">
        <f>IF(A27&lt;('2. Inputs and results'!$B$21+1),V26+('2. Inputs and results'!$B$75*'2. Inputs and results'!$B$73)," ")</f>
        <v xml:space="preserve"> </v>
      </c>
      <c r="W27" s="4" t="e">
        <f>IF(A27&lt;('2. Inputs and results'!$B$21+1),W26+C27+Y27-$V$6,NA())</f>
        <v>#N/A</v>
      </c>
      <c r="X27" s="4" t="str">
        <f>IF(A27&lt;('2. Inputs and results'!$B$21+1),'2. Inputs and results'!$B$79*W26," ")</f>
        <v xml:space="preserve"> </v>
      </c>
      <c r="Y27" s="4">
        <f t="shared" si="2"/>
        <v>0</v>
      </c>
      <c r="Z27" s="4" t="e">
        <f>IF(A27&lt;('2. Inputs and results'!$B$21+1),Z26+(C27-$V$6+Y27)/((1+$P$2)^A27),NA())</f>
        <v>#N/A</v>
      </c>
      <c r="AA27" s="4" t="str">
        <f>IF(A27&lt;('2. Inputs and results'!$B$21+1),AA26+(G27+I27+H27+T27-$V$6)," ")</f>
        <v xml:space="preserve"> </v>
      </c>
      <c r="AB27" s="20" t="e">
        <f>IF(A27&lt;('2. Inputs and results'!$B$21+1),AA27/L27,NA())</f>
        <v>#N/A</v>
      </c>
      <c r="AC27" s="29" t="str">
        <f>IF(A27&lt;('2. Inputs and results'!$B$21+1),AC26+(C27+Y27-$V$6)," ")</f>
        <v xml:space="preserve"> </v>
      </c>
      <c r="AD27" s="20" t="e">
        <f>IF(A27&lt;('2. Inputs and results'!$B$21+1),AC27/L27,NA())</f>
        <v>#N/A</v>
      </c>
      <c r="AE27" t="str">
        <f>IF(A27&lt;('2. Inputs and results'!$B$21+1),-'2. Inputs and results'!$B$121*A27," ")</f>
        <v xml:space="preserve"> </v>
      </c>
      <c r="AF27" t="e">
        <f>IF(A27&lt;('2. Inputs and results'!$B$21+1),AE27/1000,NA())</f>
        <v>#N/A</v>
      </c>
    </row>
    <row r="28" spans="1:32" x14ac:dyDescent="0.25">
      <c r="A28">
        <f t="shared" si="0"/>
        <v>23</v>
      </c>
      <c r="B28" t="str">
        <f>IF(A28&lt;('2. Inputs and results'!$B$21+1),A28," ")</f>
        <v xml:space="preserve"> </v>
      </c>
      <c r="C28" s="4" t="str">
        <f>IF(A28&lt;('2. Inputs and results'!$B$21+1),'2. Inputs and results'!$B$99+'2. Inputs and results'!$B$101," ")</f>
        <v xml:space="preserve"> </v>
      </c>
      <c r="D28" s="4" t="e">
        <f>IF(A28&lt;('2. Inputs and results'!$B$21+1),D27+C28,NA())</f>
        <v>#N/A</v>
      </c>
      <c r="E28" s="4" t="str">
        <f>IF(B28&lt;('2. Inputs and results'!$B$21+1),C28/((1+$P$2)^A28)," ")</f>
        <v xml:space="preserve"> </v>
      </c>
      <c r="F28" s="4" t="str">
        <f>IF(A28&lt;('2. Inputs and results'!$B$21+1),F27+E28," ")</f>
        <v xml:space="preserve"> </v>
      </c>
      <c r="G28" s="4" t="str">
        <f>IF(A28&lt;('2. Inputs and results'!$B$21+1),G27*(1+'2. Inputs and results'!$B$46)," ")</f>
        <v xml:space="preserve"> </v>
      </c>
      <c r="H28" s="4" t="str">
        <f>IF(A28&lt;('2. Inputs and results'!$B$21+1),H27*(1+'2. Inputs and results'!$B$58)," ")</f>
        <v xml:space="preserve"> </v>
      </c>
      <c r="I28" s="4" t="str">
        <f>IF(A28&lt;('2. Inputs and results'!$B$21+1),I27*(1+'2. Inputs and results'!$B$34)," ")</f>
        <v xml:space="preserve"> </v>
      </c>
      <c r="J28" s="4" t="str">
        <f>IF(A28&lt;('2. Inputs and results'!$B$21+1),J27*(1+'2. Inputs and results'!$B$68)," ")</f>
        <v xml:space="preserve"> </v>
      </c>
      <c r="K28" s="4" t="e">
        <f>IF('Solution 1, (hidden) (2)'!A28&lt;('2. Inputs and results'!$B$21+1),K27+(G28+I28+H28+J28),NA())</f>
        <v>#N/A</v>
      </c>
      <c r="L28" s="4" t="e">
        <f>IF(A28&lt;('2. Inputs and results'!$B$21+1),L27,NA())</f>
        <v>#N/A</v>
      </c>
      <c r="M28" s="4" t="str">
        <f>IF(A28&lt;('2. Inputs and results'!$B$21+1),'2. Inputs and results'!$B$75*'2. Inputs and results'!$B$73," ")</f>
        <v xml:space="preserve"> </v>
      </c>
      <c r="N28" s="4" t="str">
        <f>IF(A28&lt;('2. Inputs and results'!$B$21+1),M28/((1+$P$2)^A28)," ")</f>
        <v xml:space="preserve"> </v>
      </c>
      <c r="O28" s="4" t="str">
        <f>IF(A28&lt;('2. Inputs and results'!$B$21+1),'2. Inputs and results'!$B$73*'2. Inputs and results'!$B$75+O27," ")</f>
        <v xml:space="preserve"> </v>
      </c>
      <c r="P28" s="4" t="str">
        <f>IF(A28&lt;('2. Inputs and results'!$B$21+1),(G28+I28+H28+J28)/((1+$P$2)^A28)," ")</f>
        <v xml:space="preserve"> </v>
      </c>
      <c r="Q28" s="4" t="str">
        <f>IF(A28&lt;('2. Inputs and results'!$B$21+1),Q27+P28," ")</f>
        <v xml:space="preserve"> </v>
      </c>
      <c r="R28" s="4" t="e">
        <f>IF(A28&lt;('2. Inputs and results'!$B$21+1),R27+G28+I28+H28+J28+T28-$V$6,NA())</f>
        <v>#N/A</v>
      </c>
      <c r="S28" s="4" t="str">
        <f>IF(A28&lt;('2. Inputs and results'!$B$21+1),'2. Inputs and results'!$B$79*(R27)," ")</f>
        <v xml:space="preserve"> </v>
      </c>
      <c r="T28" s="4">
        <f t="shared" si="1"/>
        <v>0</v>
      </c>
      <c r="U28" s="4" t="e">
        <f>IF(A28&lt;('2. Inputs and results'!$B$21+1),U27+(T28+I28+G28+H28+J28-$V$6)/((1+$P$2)^A28),NA())</f>
        <v>#N/A</v>
      </c>
      <c r="V28" s="4" t="str">
        <f>IF(A28&lt;('2. Inputs and results'!$B$21+1),V27+('2. Inputs and results'!$B$75*'2. Inputs and results'!$B$73)," ")</f>
        <v xml:space="preserve"> </v>
      </c>
      <c r="W28" s="4" t="e">
        <f>IF(A28&lt;('2. Inputs and results'!$B$21+1),W27+C28+Y28-$V$6,NA())</f>
        <v>#N/A</v>
      </c>
      <c r="X28" s="4" t="str">
        <f>IF(A28&lt;('2. Inputs and results'!$B$21+1),'2. Inputs and results'!$B$79*W27," ")</f>
        <v xml:space="preserve"> </v>
      </c>
      <c r="Y28" s="4">
        <f t="shared" si="2"/>
        <v>0</v>
      </c>
      <c r="Z28" s="4" t="e">
        <f>IF(A28&lt;('2. Inputs and results'!$B$21+1),Z27+(C28-$V$6+Y28)/((1+$P$2)^A28),NA())</f>
        <v>#N/A</v>
      </c>
      <c r="AA28" s="4" t="str">
        <f>IF(A28&lt;('2. Inputs and results'!$B$21+1),AA27+(G28+I28+H28+T28-$V$6)," ")</f>
        <v xml:space="preserve"> </v>
      </c>
      <c r="AB28" s="20" t="e">
        <f>IF(A28&lt;('2. Inputs and results'!$B$21+1),AA28/L28,NA())</f>
        <v>#N/A</v>
      </c>
      <c r="AC28" s="29" t="str">
        <f>IF(A28&lt;('2. Inputs and results'!$B$21+1),AC27+(C28+Y28-$V$6)," ")</f>
        <v xml:space="preserve"> </v>
      </c>
      <c r="AD28" s="20" t="e">
        <f>IF(A28&lt;('2. Inputs and results'!$B$21+1),AC28/L28,NA())</f>
        <v>#N/A</v>
      </c>
      <c r="AE28" t="str">
        <f>IF(A28&lt;('2. Inputs and results'!$B$21+1),-'2. Inputs and results'!$B$121*A28," ")</f>
        <v xml:space="preserve"> </v>
      </c>
      <c r="AF28" t="e">
        <f>IF(A28&lt;('2. Inputs and results'!$B$21+1),AE28/1000,NA())</f>
        <v>#N/A</v>
      </c>
    </row>
    <row r="29" spans="1:32" x14ac:dyDescent="0.25">
      <c r="A29">
        <f t="shared" si="0"/>
        <v>24</v>
      </c>
      <c r="B29" t="str">
        <f>IF(A29&lt;('2. Inputs and results'!$B$21+1),A29," ")</f>
        <v xml:space="preserve"> </v>
      </c>
      <c r="C29" s="4" t="str">
        <f>IF(A29&lt;('2. Inputs and results'!$B$21+1),'2. Inputs and results'!$B$99+'2. Inputs and results'!$B$101," ")</f>
        <v xml:space="preserve"> </v>
      </c>
      <c r="D29" s="4" t="e">
        <f>IF(A29&lt;('2. Inputs and results'!$B$21+1),D28+C29,NA())</f>
        <v>#N/A</v>
      </c>
      <c r="E29" s="4" t="str">
        <f>IF(B29&lt;('2. Inputs and results'!$B$21+1),C29/((1+$P$2)^A29)," ")</f>
        <v xml:space="preserve"> </v>
      </c>
      <c r="F29" s="4" t="str">
        <f>IF(A29&lt;('2. Inputs and results'!$B$21+1),F28+E29," ")</f>
        <v xml:space="preserve"> </v>
      </c>
      <c r="G29" s="4" t="str">
        <f>IF(A29&lt;('2. Inputs and results'!$B$21+1),G28*(1+'2. Inputs and results'!$B$46)," ")</f>
        <v xml:space="preserve"> </v>
      </c>
      <c r="H29" s="4" t="str">
        <f>IF(A29&lt;('2. Inputs and results'!$B$21+1),H28*(1+'2. Inputs and results'!$B$58)," ")</f>
        <v xml:space="preserve"> </v>
      </c>
      <c r="I29" s="4" t="str">
        <f>IF(A29&lt;('2. Inputs and results'!$B$21+1),I28*(1+'2. Inputs and results'!$B$34)," ")</f>
        <v xml:space="preserve"> </v>
      </c>
      <c r="J29" s="4" t="str">
        <f>IF(A29&lt;('2. Inputs and results'!$B$21+1),J28*(1+'2. Inputs and results'!$B$68)," ")</f>
        <v xml:space="preserve"> </v>
      </c>
      <c r="K29" s="4" t="e">
        <f>IF('Solution 1, (hidden) (2)'!A29&lt;('2. Inputs and results'!$B$21+1),K28+(G29+I29+H29+J29),NA())</f>
        <v>#N/A</v>
      </c>
      <c r="L29" s="4" t="e">
        <f>IF(A29&lt;('2. Inputs and results'!$B$21+1),L28,NA())</f>
        <v>#N/A</v>
      </c>
      <c r="M29" s="4" t="str">
        <f>IF(A29&lt;('2. Inputs and results'!$B$21+1),'2. Inputs and results'!$B$75*'2. Inputs and results'!$B$73," ")</f>
        <v xml:space="preserve"> </v>
      </c>
      <c r="N29" s="4" t="str">
        <f>IF(A29&lt;('2. Inputs and results'!$B$21+1),M29/((1+$P$2)^A29)," ")</f>
        <v xml:space="preserve"> </v>
      </c>
      <c r="O29" s="4" t="str">
        <f>IF(A29&lt;('2. Inputs and results'!$B$21+1),'2. Inputs and results'!$B$73*'2. Inputs and results'!$B$75+O28," ")</f>
        <v xml:space="preserve"> </v>
      </c>
      <c r="P29" s="4" t="str">
        <f>IF(A29&lt;('2. Inputs and results'!$B$21+1),(G29+I29+H29+J29)/((1+$P$2)^A29)," ")</f>
        <v xml:space="preserve"> </v>
      </c>
      <c r="Q29" s="4" t="str">
        <f>IF(A29&lt;('2. Inputs and results'!$B$21+1),Q28+P29," ")</f>
        <v xml:space="preserve"> </v>
      </c>
      <c r="R29" s="4" t="e">
        <f>IF(A29&lt;('2. Inputs and results'!$B$21+1),R28+G29+I29+H29+J29+T29-$V$6,NA())</f>
        <v>#N/A</v>
      </c>
      <c r="S29" s="4" t="str">
        <f>IF(A29&lt;('2. Inputs and results'!$B$21+1),'2. Inputs and results'!$B$79*(R28)," ")</f>
        <v xml:space="preserve"> </v>
      </c>
      <c r="T29" s="4">
        <f t="shared" si="1"/>
        <v>0</v>
      </c>
      <c r="U29" s="4" t="e">
        <f>IF(A29&lt;('2. Inputs and results'!$B$21+1),U28+(T29+I29+G29+H29+J29-$V$6)/((1+$P$2)^A29),NA())</f>
        <v>#N/A</v>
      </c>
      <c r="V29" s="4" t="str">
        <f>IF(A29&lt;('2. Inputs and results'!$B$21+1),V28+('2. Inputs and results'!$B$75*'2. Inputs and results'!$B$73)," ")</f>
        <v xml:space="preserve"> </v>
      </c>
      <c r="W29" s="4" t="e">
        <f>IF(A29&lt;('2. Inputs and results'!$B$21+1),W28+C29+Y29-$V$6,NA())</f>
        <v>#N/A</v>
      </c>
      <c r="X29" s="4" t="str">
        <f>IF(A29&lt;('2. Inputs and results'!$B$21+1),'2. Inputs and results'!$B$79*W28," ")</f>
        <v xml:space="preserve"> </v>
      </c>
      <c r="Y29" s="4">
        <f t="shared" si="2"/>
        <v>0</v>
      </c>
      <c r="Z29" s="4" t="e">
        <f>IF(A29&lt;('2. Inputs and results'!$B$21+1),Z28+(C29-$V$6+Y29)/((1+$P$2)^A29),NA())</f>
        <v>#N/A</v>
      </c>
      <c r="AA29" s="4" t="str">
        <f>IF(A29&lt;('2. Inputs and results'!$B$21+1),AA28+(G29+I29+H29+T29-$V$6)," ")</f>
        <v xml:space="preserve"> </v>
      </c>
      <c r="AB29" s="20" t="e">
        <f>IF(A29&lt;('2. Inputs and results'!$B$21+1),AA29/L29,NA())</f>
        <v>#N/A</v>
      </c>
      <c r="AC29" s="29" t="str">
        <f>IF(A29&lt;('2. Inputs and results'!$B$21+1),AC28+(C29+Y29-$V$6)," ")</f>
        <v xml:space="preserve"> </v>
      </c>
      <c r="AD29" s="20" t="e">
        <f>IF(A29&lt;('2. Inputs and results'!$B$21+1),AC29/L29,NA())</f>
        <v>#N/A</v>
      </c>
      <c r="AE29" t="str">
        <f>IF(A29&lt;('2. Inputs and results'!$B$21+1),-'2. Inputs and results'!$B$121*A29," ")</f>
        <v xml:space="preserve"> </v>
      </c>
      <c r="AF29" t="e">
        <f>IF(A29&lt;('2. Inputs and results'!$B$21+1),AE29/1000,NA())</f>
        <v>#N/A</v>
      </c>
    </row>
    <row r="30" spans="1:32" x14ac:dyDescent="0.25">
      <c r="A30">
        <f t="shared" si="0"/>
        <v>25</v>
      </c>
      <c r="B30" t="str">
        <f>IF(A30&lt;('2. Inputs and results'!$B$21+1),A30," ")</f>
        <v xml:space="preserve"> </v>
      </c>
      <c r="C30" s="4" t="str">
        <f>IF(A30&lt;('2. Inputs and results'!$B$21+1),'2. Inputs and results'!$B$99+'2. Inputs and results'!$B$101," ")</f>
        <v xml:space="preserve"> </v>
      </c>
      <c r="D30" s="4" t="e">
        <f>IF(A30&lt;('2. Inputs and results'!$B$21+1),D29+C30,NA())</f>
        <v>#N/A</v>
      </c>
      <c r="E30" s="4" t="str">
        <f>IF(B30&lt;('2. Inputs and results'!$B$21+1),C30/((1+$P$2)^A30)," ")</f>
        <v xml:space="preserve"> </v>
      </c>
      <c r="F30" s="4" t="str">
        <f>IF(A30&lt;('2. Inputs and results'!$B$21+1),F29+E30," ")</f>
        <v xml:space="preserve"> </v>
      </c>
      <c r="G30" s="4" t="str">
        <f>IF(A30&lt;('2. Inputs and results'!$B$21+1),G29*(1+'2. Inputs and results'!$B$46)," ")</f>
        <v xml:space="preserve"> </v>
      </c>
      <c r="H30" s="4" t="str">
        <f>IF(A30&lt;('2. Inputs and results'!$B$21+1),H29*(1+'2. Inputs and results'!$B$58)," ")</f>
        <v xml:space="preserve"> </v>
      </c>
      <c r="I30" s="4" t="str">
        <f>IF(A30&lt;('2. Inputs and results'!$B$21+1),I29*(1+'2. Inputs and results'!$B$34)," ")</f>
        <v xml:space="preserve"> </v>
      </c>
      <c r="J30" s="4" t="str">
        <f>IF(A30&lt;('2. Inputs and results'!$B$21+1),J29*(1+'2. Inputs and results'!$B$68)," ")</f>
        <v xml:space="preserve"> </v>
      </c>
      <c r="K30" s="4" t="e">
        <f>IF('Solution 1, (hidden) (2)'!A30&lt;('2. Inputs and results'!$B$21+1),K29+(G30+I30+H30+J30),NA())</f>
        <v>#N/A</v>
      </c>
      <c r="L30" s="4" t="e">
        <f>IF(A30&lt;('2. Inputs and results'!$B$21+1),L29,NA())</f>
        <v>#N/A</v>
      </c>
      <c r="M30" s="4" t="str">
        <f>IF(A30&lt;('2. Inputs and results'!$B$21+1),'2. Inputs and results'!$B$75*'2. Inputs and results'!$B$73," ")</f>
        <v xml:space="preserve"> </v>
      </c>
      <c r="N30" s="4" t="str">
        <f>IF(A30&lt;('2. Inputs and results'!$B$21+1),M30/((1+$P$2)^A30)," ")</f>
        <v xml:space="preserve"> </v>
      </c>
      <c r="O30" s="4" t="str">
        <f>IF(A30&lt;('2. Inputs and results'!$B$21+1),'2. Inputs and results'!$B$73*'2. Inputs and results'!$B$75+O29," ")</f>
        <v xml:space="preserve"> </v>
      </c>
      <c r="P30" s="4" t="str">
        <f>IF(A30&lt;('2. Inputs and results'!$B$21+1),(G30+I30+H30+J30)/((1+$P$2)^A30)," ")</f>
        <v xml:space="preserve"> </v>
      </c>
      <c r="Q30" s="4" t="str">
        <f>IF(A30&lt;('2. Inputs and results'!$B$21+1),Q29+P30," ")</f>
        <v xml:space="preserve"> </v>
      </c>
      <c r="R30" s="4" t="e">
        <f>IF(A30&lt;('2. Inputs and results'!$B$21+1),R29+G30+I30+H30+J30+T30-$V$6,NA())</f>
        <v>#N/A</v>
      </c>
      <c r="S30" s="4" t="str">
        <f>IF(A30&lt;('2. Inputs and results'!$B$21+1),'2. Inputs and results'!$B$79*(R29)," ")</f>
        <v xml:space="preserve"> </v>
      </c>
      <c r="T30" s="4">
        <f t="shared" si="1"/>
        <v>0</v>
      </c>
      <c r="U30" s="4" t="e">
        <f>IF(A30&lt;('2. Inputs and results'!$B$21+1),U29+(T30+I30+G30+H30+J30-$V$6)/((1+$P$2)^A30),NA())</f>
        <v>#N/A</v>
      </c>
      <c r="V30" s="4" t="str">
        <f>IF(A30&lt;('2. Inputs and results'!$B$21+1),V29+('2. Inputs and results'!$B$75*'2. Inputs and results'!$B$73)," ")</f>
        <v xml:space="preserve"> </v>
      </c>
      <c r="W30" s="4" t="e">
        <f>IF(A30&lt;('2. Inputs and results'!$B$21+1),W29+C30+Y30-$V$6,NA())</f>
        <v>#N/A</v>
      </c>
      <c r="X30" s="4" t="str">
        <f>IF(A30&lt;('2. Inputs and results'!$B$21+1),'2. Inputs and results'!$B$79*W29," ")</f>
        <v xml:space="preserve"> </v>
      </c>
      <c r="Y30" s="4">
        <f t="shared" si="2"/>
        <v>0</v>
      </c>
      <c r="Z30" s="4" t="e">
        <f>IF(A30&lt;('2. Inputs and results'!$B$21+1),Z29+(C30-$V$6+Y30)/((1+$P$2)^A30),NA())</f>
        <v>#N/A</v>
      </c>
      <c r="AA30" s="4" t="str">
        <f>IF(A30&lt;('2. Inputs and results'!$B$21+1),AA29+(G30+I30+H30+T30-$V$6)," ")</f>
        <v xml:space="preserve"> </v>
      </c>
      <c r="AB30" s="20" t="e">
        <f>IF(A30&lt;('2. Inputs and results'!$B$21+1),AA30/L30,NA())</f>
        <v>#N/A</v>
      </c>
      <c r="AC30" s="29" t="str">
        <f>IF(A30&lt;('2. Inputs and results'!$B$21+1),AC29+(C30+Y30-$V$6)," ")</f>
        <v xml:space="preserve"> </v>
      </c>
      <c r="AD30" s="20" t="e">
        <f>IF(A30&lt;('2. Inputs and results'!$B$21+1),AC30/L30,NA())</f>
        <v>#N/A</v>
      </c>
      <c r="AE30" t="str">
        <f>IF(A30&lt;('2. Inputs and results'!$B$21+1),-'2. Inputs and results'!$B$121*A30," ")</f>
        <v xml:space="preserve"> </v>
      </c>
      <c r="AF30" t="e">
        <f>IF(A30&lt;('2. Inputs and results'!$B$21+1),AE30/1000,NA())</f>
        <v>#N/A</v>
      </c>
    </row>
    <row r="31" spans="1:32" x14ac:dyDescent="0.25">
      <c r="A31">
        <f t="shared" si="0"/>
        <v>26</v>
      </c>
      <c r="B31" t="str">
        <f>IF(A31&lt;('2. Inputs and results'!$B$21+1),A31," ")</f>
        <v xml:space="preserve"> </v>
      </c>
      <c r="C31" s="4" t="str">
        <f>IF(A31&lt;('2. Inputs and results'!$B$21+1),'2. Inputs and results'!$B$99+'2. Inputs and results'!$B$101," ")</f>
        <v xml:space="preserve"> </v>
      </c>
      <c r="D31" s="4" t="e">
        <f>IF(A31&lt;('2. Inputs and results'!$B$21+1),D30+C31,NA())</f>
        <v>#N/A</v>
      </c>
      <c r="E31" s="4" t="str">
        <f>IF(B31&lt;('2. Inputs and results'!$B$21+1),C31/((1+$P$2)^A31)," ")</f>
        <v xml:space="preserve"> </v>
      </c>
      <c r="F31" s="4" t="str">
        <f>IF(A31&lt;('2. Inputs and results'!$B$21+1),F30+E31," ")</f>
        <v xml:space="preserve"> </v>
      </c>
      <c r="G31" s="4" t="str">
        <f>IF(A31&lt;('2. Inputs and results'!$B$21+1),G30*(1+'2. Inputs and results'!$B$46)," ")</f>
        <v xml:space="preserve"> </v>
      </c>
      <c r="H31" s="4" t="str">
        <f>IF(A31&lt;('2. Inputs and results'!$B$21+1),H30*(1+'2. Inputs and results'!$B$58)," ")</f>
        <v xml:space="preserve"> </v>
      </c>
      <c r="I31" s="4" t="str">
        <f>IF(A31&lt;('2. Inputs and results'!$B$21+1),I30*(1+'2. Inputs and results'!$B$34)," ")</f>
        <v xml:space="preserve"> </v>
      </c>
      <c r="J31" s="4" t="str">
        <f>IF(A31&lt;('2. Inputs and results'!$B$21+1),J30*(1+'2. Inputs and results'!$B$68)," ")</f>
        <v xml:space="preserve"> </v>
      </c>
      <c r="K31" s="4" t="e">
        <f>IF('Solution 1, (hidden) (2)'!A31&lt;('2. Inputs and results'!$B$21+1),K30+(G31+I31+H31+J31),NA())</f>
        <v>#N/A</v>
      </c>
      <c r="L31" s="4" t="e">
        <f>IF(A31&lt;('2. Inputs and results'!$B$21+1),L30,NA())</f>
        <v>#N/A</v>
      </c>
      <c r="M31" s="4" t="str">
        <f>IF(A31&lt;('2. Inputs and results'!$B$21+1),'2. Inputs and results'!$B$75*'2. Inputs and results'!$B$73," ")</f>
        <v xml:space="preserve"> </v>
      </c>
      <c r="N31" s="4" t="str">
        <f>IF(A31&lt;('2. Inputs and results'!$B$21+1),M31/((1+$P$2)^A31)," ")</f>
        <v xml:space="preserve"> </v>
      </c>
      <c r="O31" s="4" t="str">
        <f>IF(A31&lt;('2. Inputs and results'!$B$21+1),'2. Inputs and results'!$B$73*'2. Inputs and results'!$B$75+O30," ")</f>
        <v xml:space="preserve"> </v>
      </c>
      <c r="P31" s="4" t="str">
        <f>IF(A31&lt;('2. Inputs and results'!$B$21+1),(G31+I31+H31+J31)/((1+$P$2)^A31)," ")</f>
        <v xml:space="preserve"> </v>
      </c>
      <c r="Q31" s="4" t="str">
        <f>IF(A31&lt;('2. Inputs and results'!$B$21+1),Q30+P31," ")</f>
        <v xml:space="preserve"> </v>
      </c>
      <c r="R31" s="4" t="e">
        <f>IF(A31&lt;('2. Inputs and results'!$B$21+1),R30+G31+I31+H31+J31+T31-$V$6,NA())</f>
        <v>#N/A</v>
      </c>
      <c r="S31" s="4" t="str">
        <f>IF(A31&lt;('2. Inputs and results'!$B$21+1),'2. Inputs and results'!$B$79*(R30)," ")</f>
        <v xml:space="preserve"> </v>
      </c>
      <c r="T31" s="4">
        <f t="shared" si="1"/>
        <v>0</v>
      </c>
      <c r="U31" s="4" t="e">
        <f>IF(A31&lt;('2. Inputs and results'!$B$21+1),U30+(T31+I31+G31+H31+J31-$V$6)/((1+$P$2)^A31),NA())</f>
        <v>#N/A</v>
      </c>
      <c r="V31" s="4" t="str">
        <f>IF(A31&lt;('2. Inputs and results'!$B$21+1),V30+('2. Inputs and results'!$B$75*'2. Inputs and results'!$B$73)," ")</f>
        <v xml:space="preserve"> </v>
      </c>
      <c r="W31" s="4" t="e">
        <f>IF(A31&lt;('2. Inputs and results'!$B$21+1),W30+C31+Y31-$V$6,NA())</f>
        <v>#N/A</v>
      </c>
      <c r="X31" s="4" t="str">
        <f>IF(A31&lt;('2. Inputs and results'!$B$21+1),'2. Inputs and results'!$B$79*W30," ")</f>
        <v xml:space="preserve"> </v>
      </c>
      <c r="Y31" s="4">
        <f t="shared" si="2"/>
        <v>0</v>
      </c>
      <c r="Z31" s="4" t="e">
        <f>IF(A31&lt;('2. Inputs and results'!$B$21+1),Z30+(C31-$V$6+Y31)/((1+$P$2)^A31),NA())</f>
        <v>#N/A</v>
      </c>
      <c r="AA31" s="4" t="str">
        <f>IF(A31&lt;('2. Inputs and results'!$B$21+1),AA30+(G31+I31+H31+T31-$V$6)," ")</f>
        <v xml:space="preserve"> </v>
      </c>
      <c r="AB31" s="20" t="e">
        <f>IF(A31&lt;('2. Inputs and results'!$B$21+1),AA31/L31,NA())</f>
        <v>#N/A</v>
      </c>
      <c r="AC31" s="29" t="str">
        <f>IF(A31&lt;('2. Inputs and results'!$B$21+1),AC30+(C31+Y31-$V$6)," ")</f>
        <v xml:space="preserve"> </v>
      </c>
      <c r="AD31" s="20" t="e">
        <f>IF(A31&lt;('2. Inputs and results'!$B$21+1),AC31/L31,NA())</f>
        <v>#N/A</v>
      </c>
      <c r="AE31" t="str">
        <f>IF(A31&lt;('2. Inputs and results'!$B$21+1),-'2. Inputs and results'!$B$121*A31," ")</f>
        <v xml:space="preserve"> </v>
      </c>
      <c r="AF31" t="e">
        <f>IF(A31&lt;('2. Inputs and results'!$B$21+1),AE31/1000,NA())</f>
        <v>#N/A</v>
      </c>
    </row>
    <row r="32" spans="1:32" x14ac:dyDescent="0.25">
      <c r="A32">
        <f t="shared" si="0"/>
        <v>27</v>
      </c>
      <c r="B32" t="str">
        <f>IF(A32&lt;('2. Inputs and results'!$B$21+1),A32," ")</f>
        <v xml:space="preserve"> </v>
      </c>
      <c r="C32" s="4" t="str">
        <f>IF(A32&lt;('2. Inputs and results'!$B$21+1),'2. Inputs and results'!$B$99+'2. Inputs and results'!$B$101," ")</f>
        <v xml:space="preserve"> </v>
      </c>
      <c r="D32" s="4" t="e">
        <f>IF(A32&lt;('2. Inputs and results'!$B$21+1),D31+C32,NA())</f>
        <v>#N/A</v>
      </c>
      <c r="E32" s="4" t="str">
        <f>IF(B32&lt;('2. Inputs and results'!$B$21+1),C32/((1+$P$2)^A32)," ")</f>
        <v xml:space="preserve"> </v>
      </c>
      <c r="F32" s="4" t="str">
        <f>IF(A32&lt;('2. Inputs and results'!$B$21+1),F31+E32," ")</f>
        <v xml:space="preserve"> </v>
      </c>
      <c r="G32" s="4" t="str">
        <f>IF(A32&lt;('2. Inputs and results'!$B$21+1),G31*(1+'2. Inputs and results'!$B$46)," ")</f>
        <v xml:space="preserve"> </v>
      </c>
      <c r="H32" s="4" t="str">
        <f>IF(A32&lt;('2. Inputs and results'!$B$21+1),H31*(1+'2. Inputs and results'!$B$58)," ")</f>
        <v xml:space="preserve"> </v>
      </c>
      <c r="I32" s="4" t="str">
        <f>IF(A32&lt;('2. Inputs and results'!$B$21+1),I31*(1+'2. Inputs and results'!$B$34)," ")</f>
        <v xml:space="preserve"> </v>
      </c>
      <c r="J32" s="4" t="str">
        <f>IF(A32&lt;('2. Inputs and results'!$B$21+1),J31*(1+'2. Inputs and results'!$B$68)," ")</f>
        <v xml:space="preserve"> </v>
      </c>
      <c r="K32" s="4" t="e">
        <f>IF('Solution 1, (hidden) (2)'!A32&lt;('2. Inputs and results'!$B$21+1),K31+(G32+I32+H32+J32),NA())</f>
        <v>#N/A</v>
      </c>
      <c r="L32" s="4" t="e">
        <f>IF(A32&lt;('2. Inputs and results'!$B$21+1),L31,NA())</f>
        <v>#N/A</v>
      </c>
      <c r="M32" s="4" t="str">
        <f>IF(A32&lt;('2. Inputs and results'!$B$21+1),'2. Inputs and results'!$B$75*'2. Inputs and results'!$B$73," ")</f>
        <v xml:space="preserve"> </v>
      </c>
      <c r="N32" s="4" t="str">
        <f>IF(A32&lt;('2. Inputs and results'!$B$21+1),M32/((1+$P$2)^A32)," ")</f>
        <v xml:space="preserve"> </v>
      </c>
      <c r="O32" s="4" t="str">
        <f>IF(A32&lt;('2. Inputs and results'!$B$21+1),'2. Inputs and results'!$B$73*'2. Inputs and results'!$B$75+O31," ")</f>
        <v xml:space="preserve"> </v>
      </c>
      <c r="P32" s="4" t="str">
        <f>IF(A32&lt;('2. Inputs and results'!$B$21+1),(G32+I32+H32+J32)/((1+$P$2)^A32)," ")</f>
        <v xml:space="preserve"> </v>
      </c>
      <c r="Q32" s="4" t="str">
        <f>IF(A32&lt;('2. Inputs and results'!$B$21+1),Q31+P32," ")</f>
        <v xml:space="preserve"> </v>
      </c>
      <c r="R32" s="4" t="e">
        <f>IF(A32&lt;('2. Inputs and results'!$B$21+1),R31+G32+I32+H32+J32+T32-$V$6,NA())</f>
        <v>#N/A</v>
      </c>
      <c r="S32" s="4" t="str">
        <f>IF(A32&lt;('2. Inputs and results'!$B$21+1),'2. Inputs and results'!$B$79*(R31)," ")</f>
        <v xml:space="preserve"> </v>
      </c>
      <c r="T32" s="4">
        <f t="shared" si="1"/>
        <v>0</v>
      </c>
      <c r="U32" s="4" t="e">
        <f>IF(A32&lt;('2. Inputs and results'!$B$21+1),U31+(T32+I32+G32+H32+J32-$V$6)/((1+$P$2)^A32),NA())</f>
        <v>#N/A</v>
      </c>
      <c r="V32" s="4" t="str">
        <f>IF(A32&lt;('2. Inputs and results'!$B$21+1),V31+('2. Inputs and results'!$B$75*'2. Inputs and results'!$B$73)," ")</f>
        <v xml:space="preserve"> </v>
      </c>
      <c r="W32" s="4" t="e">
        <f>IF(A32&lt;('2. Inputs and results'!$B$21+1),W31+C32+Y32-$V$6,NA())</f>
        <v>#N/A</v>
      </c>
      <c r="X32" s="4" t="str">
        <f>IF(A32&lt;('2. Inputs and results'!$B$21+1),'2. Inputs and results'!$B$79*W31," ")</f>
        <v xml:space="preserve"> </v>
      </c>
      <c r="Y32" s="4">
        <f t="shared" si="2"/>
        <v>0</v>
      </c>
      <c r="Z32" s="4" t="e">
        <f>IF(A32&lt;('2. Inputs and results'!$B$21+1),Z31+(C32-$V$6+Y32)/((1+$P$2)^A32),NA())</f>
        <v>#N/A</v>
      </c>
      <c r="AA32" s="4" t="str">
        <f>IF(A32&lt;('2. Inputs and results'!$B$21+1),AA31+(G32+I32+H32+T32-$V$6)," ")</f>
        <v xml:space="preserve"> </v>
      </c>
      <c r="AB32" s="20" t="e">
        <f>IF(A32&lt;('2. Inputs and results'!$B$21+1),AA32/L32,NA())</f>
        <v>#N/A</v>
      </c>
      <c r="AC32" s="29" t="str">
        <f>IF(A32&lt;('2. Inputs and results'!$B$21+1),AC31+(C32+Y32-$V$6)," ")</f>
        <v xml:space="preserve"> </v>
      </c>
      <c r="AD32" s="20" t="e">
        <f>IF(A32&lt;('2. Inputs and results'!$B$21+1),AC32/L32,NA())</f>
        <v>#N/A</v>
      </c>
      <c r="AE32" t="str">
        <f>IF(A32&lt;('2. Inputs and results'!$B$21+1),-'2. Inputs and results'!$B$121*A32," ")</f>
        <v xml:space="preserve"> </v>
      </c>
      <c r="AF32" t="e">
        <f>IF(A32&lt;('2. Inputs and results'!$B$21+1),AE32/1000,NA())</f>
        <v>#N/A</v>
      </c>
    </row>
    <row r="33" spans="1:32" x14ac:dyDescent="0.25">
      <c r="A33">
        <f t="shared" si="0"/>
        <v>28</v>
      </c>
      <c r="B33" t="str">
        <f>IF(A33&lt;('2. Inputs and results'!$B$21+1),A33," ")</f>
        <v xml:space="preserve"> </v>
      </c>
      <c r="C33" s="4" t="str">
        <f>IF(A33&lt;('2. Inputs and results'!$B$21+1),'2. Inputs and results'!$B$99+'2. Inputs and results'!$B$101," ")</f>
        <v xml:space="preserve"> </v>
      </c>
      <c r="D33" s="4" t="e">
        <f>IF(A33&lt;('2. Inputs and results'!$B$21+1),D32+C33,NA())</f>
        <v>#N/A</v>
      </c>
      <c r="E33" s="4" t="str">
        <f>IF(B33&lt;('2. Inputs and results'!$B$21+1),C33/((1+$P$2)^A33)," ")</f>
        <v xml:space="preserve"> </v>
      </c>
      <c r="F33" s="4" t="str">
        <f>IF(A33&lt;('2. Inputs and results'!$B$21+1),F32+E33," ")</f>
        <v xml:space="preserve"> </v>
      </c>
      <c r="G33" s="4" t="str">
        <f>IF(A33&lt;('2. Inputs and results'!$B$21+1),G32*(1+'2. Inputs and results'!$B$46)," ")</f>
        <v xml:space="preserve"> </v>
      </c>
      <c r="H33" s="4" t="str">
        <f>IF(A33&lt;('2. Inputs and results'!$B$21+1),H32*(1+'2. Inputs and results'!$B$58)," ")</f>
        <v xml:space="preserve"> </v>
      </c>
      <c r="I33" s="4" t="str">
        <f>IF(A33&lt;('2. Inputs and results'!$B$21+1),I32*(1+'2. Inputs and results'!$B$34)," ")</f>
        <v xml:space="preserve"> </v>
      </c>
      <c r="J33" s="4" t="str">
        <f>IF(A33&lt;('2. Inputs and results'!$B$21+1),J32*(1+'2. Inputs and results'!$B$68)," ")</f>
        <v xml:space="preserve"> </v>
      </c>
      <c r="K33" s="4" t="e">
        <f>IF('Solution 1, (hidden) (2)'!A33&lt;('2. Inputs and results'!$B$21+1),K32+(G33+I33+H33+J33),NA())</f>
        <v>#N/A</v>
      </c>
      <c r="L33" s="4" t="e">
        <f>IF(A33&lt;('2. Inputs and results'!$B$21+1),L32,NA())</f>
        <v>#N/A</v>
      </c>
      <c r="M33" s="4" t="str">
        <f>IF(A33&lt;('2. Inputs and results'!$B$21+1),'2. Inputs and results'!$B$75*'2. Inputs and results'!$B$73," ")</f>
        <v xml:space="preserve"> </v>
      </c>
      <c r="N33" s="4" t="str">
        <f>IF(A33&lt;('2. Inputs and results'!$B$21+1),M33/((1+$P$2)^A33)," ")</f>
        <v xml:space="preserve"> </v>
      </c>
      <c r="O33" s="4" t="str">
        <f>IF(A33&lt;('2. Inputs and results'!$B$21+1),'2. Inputs and results'!$B$73*'2. Inputs and results'!$B$75+O32," ")</f>
        <v xml:space="preserve"> </v>
      </c>
      <c r="P33" s="4" t="str">
        <f>IF(A33&lt;('2. Inputs and results'!$B$21+1),(G33+I33+H33+J33)/((1+$P$2)^A33)," ")</f>
        <v xml:space="preserve"> </v>
      </c>
      <c r="Q33" s="4" t="str">
        <f>IF(A33&lt;('2. Inputs and results'!$B$21+1),Q32+P33," ")</f>
        <v xml:space="preserve"> </v>
      </c>
      <c r="R33" s="4" t="e">
        <f>IF(A33&lt;('2. Inputs and results'!$B$21+1),R32+G33+I33+H33+J33+T33-$V$6,NA())</f>
        <v>#N/A</v>
      </c>
      <c r="S33" s="4" t="str">
        <f>IF(A33&lt;('2. Inputs and results'!$B$21+1),'2. Inputs and results'!$B$79*(R32)," ")</f>
        <v xml:space="preserve"> </v>
      </c>
      <c r="T33" s="4">
        <f t="shared" si="1"/>
        <v>0</v>
      </c>
      <c r="U33" s="4" t="e">
        <f>IF(A33&lt;('2. Inputs and results'!$B$21+1),U32+(T33+I33+G33+H33+J33-$V$6)/((1+$P$2)^A33),NA())</f>
        <v>#N/A</v>
      </c>
      <c r="V33" s="4" t="str">
        <f>IF(A33&lt;('2. Inputs and results'!$B$21+1),V32+('2. Inputs and results'!$B$75*'2. Inputs and results'!$B$73)," ")</f>
        <v xml:space="preserve"> </v>
      </c>
      <c r="W33" s="4" t="e">
        <f>IF(A33&lt;('2. Inputs and results'!$B$21+1),W32+C33+Y33-$V$6,NA())</f>
        <v>#N/A</v>
      </c>
      <c r="X33" s="4" t="str">
        <f>IF(A33&lt;('2. Inputs and results'!$B$21+1),'2. Inputs and results'!$B$79*W32," ")</f>
        <v xml:space="preserve"> </v>
      </c>
      <c r="Y33" s="4">
        <f t="shared" si="2"/>
        <v>0</v>
      </c>
      <c r="Z33" s="4" t="e">
        <f>IF(A33&lt;('2. Inputs and results'!$B$21+1),Z32+(C33-$V$6+Y33)/((1+$P$2)^A33),NA())</f>
        <v>#N/A</v>
      </c>
      <c r="AA33" s="4" t="str">
        <f>IF(A33&lt;('2. Inputs and results'!$B$21+1),AA32+(G33+I33+H33+T33-$V$6)," ")</f>
        <v xml:space="preserve"> </v>
      </c>
      <c r="AB33" s="20" t="e">
        <f>IF(A33&lt;('2. Inputs and results'!$B$21+1),AA33/L33,NA())</f>
        <v>#N/A</v>
      </c>
      <c r="AC33" s="29" t="str">
        <f>IF(A33&lt;('2. Inputs and results'!$B$21+1),AC32+(C33+Y33-$V$6)," ")</f>
        <v xml:space="preserve"> </v>
      </c>
      <c r="AD33" s="20" t="e">
        <f>IF(A33&lt;('2. Inputs and results'!$B$21+1),AC33/L33,NA())</f>
        <v>#N/A</v>
      </c>
      <c r="AE33" t="str">
        <f>IF(A33&lt;('2. Inputs and results'!$B$21+1),-'2. Inputs and results'!$B$121*A33," ")</f>
        <v xml:space="preserve"> </v>
      </c>
      <c r="AF33" t="e">
        <f>IF(A33&lt;('2. Inputs and results'!$B$21+1),AE33/1000,NA())</f>
        <v>#N/A</v>
      </c>
    </row>
    <row r="34" spans="1:32" x14ac:dyDescent="0.25">
      <c r="A34">
        <f t="shared" si="0"/>
        <v>29</v>
      </c>
      <c r="B34" t="str">
        <f>IF(A34&lt;('2. Inputs and results'!$B$21+1),A34," ")</f>
        <v xml:space="preserve"> </v>
      </c>
      <c r="C34" s="4" t="str">
        <f>IF(A34&lt;('2. Inputs and results'!$B$21+1),'2. Inputs and results'!$B$99+'2. Inputs and results'!$B$101," ")</f>
        <v xml:space="preserve"> </v>
      </c>
      <c r="D34" s="4" t="e">
        <f>IF(A34&lt;('2. Inputs and results'!$B$21+1),D33+C34,NA())</f>
        <v>#N/A</v>
      </c>
      <c r="E34" s="4" t="str">
        <f>IF(B34&lt;('2. Inputs and results'!$B$21+1),C34/((1+$P$2)^A34)," ")</f>
        <v xml:space="preserve"> </v>
      </c>
      <c r="F34" s="4" t="str">
        <f>IF(A34&lt;('2. Inputs and results'!$B$21+1),F33+E34," ")</f>
        <v xml:space="preserve"> </v>
      </c>
      <c r="G34" s="4" t="str">
        <f>IF(A34&lt;('2. Inputs and results'!$B$21+1),G33*(1+'2. Inputs and results'!$B$46)," ")</f>
        <v xml:space="preserve"> </v>
      </c>
      <c r="H34" s="4" t="str">
        <f>IF(A34&lt;('2. Inputs and results'!$B$21+1),H33*(1+'2. Inputs and results'!$B$58)," ")</f>
        <v xml:space="preserve"> </v>
      </c>
      <c r="I34" s="4" t="str">
        <f>IF(A34&lt;('2. Inputs and results'!$B$21+1),I33*(1+'2. Inputs and results'!$B$34)," ")</f>
        <v xml:space="preserve"> </v>
      </c>
      <c r="J34" s="4" t="str">
        <f>IF(A34&lt;('2. Inputs and results'!$B$21+1),J33*(1+'2. Inputs and results'!$B$68)," ")</f>
        <v xml:space="preserve"> </v>
      </c>
      <c r="K34" s="4" t="e">
        <f>IF('Solution 1, (hidden) (2)'!A34&lt;('2. Inputs and results'!$B$21+1),K33+(G34+I34+H34+J34),NA())</f>
        <v>#N/A</v>
      </c>
      <c r="L34" s="4" t="e">
        <f>IF(A34&lt;('2. Inputs and results'!$B$21+1),L33,NA())</f>
        <v>#N/A</v>
      </c>
      <c r="M34" s="4" t="str">
        <f>IF(A34&lt;('2. Inputs and results'!$B$21+1),'2. Inputs and results'!$B$75*'2. Inputs and results'!$B$73," ")</f>
        <v xml:space="preserve"> </v>
      </c>
      <c r="N34" s="4" t="str">
        <f>IF(A34&lt;('2. Inputs and results'!$B$21+1),M34/((1+$P$2)^A34)," ")</f>
        <v xml:space="preserve"> </v>
      </c>
      <c r="O34" s="4" t="str">
        <f>IF(A34&lt;('2. Inputs and results'!$B$21+1),'2. Inputs and results'!$B$73*'2. Inputs and results'!$B$75+O33," ")</f>
        <v xml:space="preserve"> </v>
      </c>
      <c r="P34" s="4" t="str">
        <f>IF(A34&lt;('2. Inputs and results'!$B$21+1),(G34+I34+H34+J34)/((1+$P$2)^A34)," ")</f>
        <v xml:space="preserve"> </v>
      </c>
      <c r="Q34" s="4" t="str">
        <f>IF(A34&lt;('2. Inputs and results'!$B$21+1),Q33+P34," ")</f>
        <v xml:space="preserve"> </v>
      </c>
      <c r="R34" s="4" t="e">
        <f>IF(A34&lt;('2. Inputs and results'!$B$21+1),R33+G34+I34+H34+J34+T34-$V$6,NA())</f>
        <v>#N/A</v>
      </c>
      <c r="S34" s="4" t="str">
        <f>IF(A34&lt;('2. Inputs and results'!$B$21+1),'2. Inputs and results'!$B$79*(R33)," ")</f>
        <v xml:space="preserve"> </v>
      </c>
      <c r="T34" s="4">
        <f t="shared" si="1"/>
        <v>0</v>
      </c>
      <c r="U34" s="4" t="e">
        <f>IF(A34&lt;('2. Inputs and results'!$B$21+1),U33+(T34+I34+G34+H34+J34-$V$6)/((1+$P$2)^A34),NA())</f>
        <v>#N/A</v>
      </c>
      <c r="V34" s="4" t="str">
        <f>IF(A34&lt;('2. Inputs and results'!$B$21+1),V33+('2. Inputs and results'!$B$75*'2. Inputs and results'!$B$73)," ")</f>
        <v xml:space="preserve"> </v>
      </c>
      <c r="W34" s="4" t="e">
        <f>IF(A34&lt;('2. Inputs and results'!$B$21+1),W33+C34+Y34-$V$6,NA())</f>
        <v>#N/A</v>
      </c>
      <c r="X34" s="4" t="str">
        <f>IF(A34&lt;('2. Inputs and results'!$B$21+1),'2. Inputs and results'!$B$79*W33," ")</f>
        <v xml:space="preserve"> </v>
      </c>
      <c r="Y34" s="4">
        <f t="shared" si="2"/>
        <v>0</v>
      </c>
      <c r="Z34" s="4" t="e">
        <f>IF(A34&lt;('2. Inputs and results'!$B$21+1),Z33+(C34-$V$6+Y34)/((1+$P$2)^A34),NA())</f>
        <v>#N/A</v>
      </c>
      <c r="AA34" s="4" t="str">
        <f>IF(A34&lt;('2. Inputs and results'!$B$21+1),AA33+(G34+I34+H34+T34-$V$6)," ")</f>
        <v xml:space="preserve"> </v>
      </c>
      <c r="AB34" s="20" t="e">
        <f>IF(A34&lt;('2. Inputs and results'!$B$21+1),AA34/L34,NA())</f>
        <v>#N/A</v>
      </c>
      <c r="AC34" s="29" t="str">
        <f>IF(A34&lt;('2. Inputs and results'!$B$21+1),AC33+(C34+Y34-$V$6)," ")</f>
        <v xml:space="preserve"> </v>
      </c>
      <c r="AD34" s="20" t="e">
        <f>IF(A34&lt;('2. Inputs and results'!$B$21+1),AC34/L34,NA())</f>
        <v>#N/A</v>
      </c>
      <c r="AE34" t="str">
        <f>IF(A34&lt;('2. Inputs and results'!$B$21+1),-'2. Inputs and results'!$B$121*A34," ")</f>
        <v xml:space="preserve"> </v>
      </c>
      <c r="AF34" t="e">
        <f>IF(A34&lt;('2. Inputs and results'!$B$21+1),AE34/1000,NA())</f>
        <v>#N/A</v>
      </c>
    </row>
    <row r="35" spans="1:32" x14ac:dyDescent="0.25">
      <c r="A35">
        <f t="shared" si="0"/>
        <v>30</v>
      </c>
      <c r="B35" t="str">
        <f>IF(A35&lt;('2. Inputs and results'!$B$21+1),A35," ")</f>
        <v xml:space="preserve"> </v>
      </c>
      <c r="C35" s="4" t="str">
        <f>IF(A35&lt;('2. Inputs and results'!$B$21+1),'2. Inputs and results'!$B$99+'2. Inputs and results'!$B$101," ")</f>
        <v xml:space="preserve"> </v>
      </c>
      <c r="D35" s="4" t="e">
        <f>IF(A35&lt;('2. Inputs and results'!$B$21+1),D34+C35,NA())</f>
        <v>#N/A</v>
      </c>
      <c r="E35" s="4" t="str">
        <f>IF(B35&lt;('2. Inputs and results'!$B$21+1),C35/((1+$P$2)^A35)," ")</f>
        <v xml:space="preserve"> </v>
      </c>
      <c r="F35" s="4" t="str">
        <f>IF(A35&lt;('2. Inputs and results'!$B$21+1),F34+E35," ")</f>
        <v xml:space="preserve"> </v>
      </c>
      <c r="G35" s="4" t="str">
        <f>IF(A35&lt;('2. Inputs and results'!$B$21+1),G34*(1+'2. Inputs and results'!$B$46)," ")</f>
        <v xml:space="preserve"> </v>
      </c>
      <c r="H35" s="4" t="str">
        <f>IF(A35&lt;('2. Inputs and results'!$B$21+1),H34*(1+'2. Inputs and results'!$B$58)," ")</f>
        <v xml:space="preserve"> </v>
      </c>
      <c r="I35" s="4" t="str">
        <f>IF(A35&lt;('2. Inputs and results'!$B$21+1),I34*(1+'2. Inputs and results'!$B$34)," ")</f>
        <v xml:space="preserve"> </v>
      </c>
      <c r="J35" s="4" t="str">
        <f>IF(A35&lt;('2. Inputs and results'!$B$21+1),J34*(1+'2. Inputs and results'!$B$68)," ")</f>
        <v xml:space="preserve"> </v>
      </c>
      <c r="K35" s="4" t="e">
        <f>IF('Solution 1, (hidden) (2)'!A35&lt;('2. Inputs and results'!$B$21+1),K34+(G35+I35+H35+J35),NA())</f>
        <v>#N/A</v>
      </c>
      <c r="L35" s="4" t="e">
        <f>IF(A35&lt;('2. Inputs and results'!$B$21+1),L34,NA())</f>
        <v>#N/A</v>
      </c>
      <c r="M35" s="4" t="str">
        <f>IF(A35&lt;('2. Inputs and results'!$B$21+1),'2. Inputs and results'!$B$75*'2. Inputs and results'!$B$73," ")</f>
        <v xml:space="preserve"> </v>
      </c>
      <c r="N35" s="4" t="str">
        <f>IF(A35&lt;('2. Inputs and results'!$B$21+1),M35/((1+$P$2)^A35)," ")</f>
        <v xml:space="preserve"> </v>
      </c>
      <c r="O35" s="4" t="str">
        <f>IF(A35&lt;('2. Inputs and results'!$B$21+1),'2. Inputs and results'!$B$73*'2. Inputs and results'!$B$75+O34," ")</f>
        <v xml:space="preserve"> </v>
      </c>
      <c r="P35" s="4" t="str">
        <f>IF(A35&lt;('2. Inputs and results'!$B$21+1),(G35+I35+H35+J35)/((1+$P$2)^A35)," ")</f>
        <v xml:space="preserve"> </v>
      </c>
      <c r="Q35" s="4" t="str">
        <f>IF(A35&lt;('2. Inputs and results'!$B$21+1),Q34+P35," ")</f>
        <v xml:space="preserve"> </v>
      </c>
      <c r="R35" s="4" t="e">
        <f>IF(A35&lt;('2. Inputs and results'!$B$21+1),R34+G35+I35+H35+J35+T35-$V$6,NA())</f>
        <v>#N/A</v>
      </c>
      <c r="S35" s="4" t="str">
        <f>IF(A35&lt;('2. Inputs and results'!$B$21+1),'2. Inputs and results'!$B$79*(R34)," ")</f>
        <v xml:space="preserve"> </v>
      </c>
      <c r="T35" s="4">
        <f t="shared" si="1"/>
        <v>0</v>
      </c>
      <c r="U35" s="4" t="e">
        <f>IF(A35&lt;('2. Inputs and results'!$B$21+1),U34+(T35+I35+G35+H35+J35-$V$6)/((1+$P$2)^A35),NA())</f>
        <v>#N/A</v>
      </c>
      <c r="V35" s="4" t="str">
        <f>IF(A35&lt;('2. Inputs and results'!$B$21+1),V34+('2. Inputs and results'!$B$75*'2. Inputs and results'!$B$73)," ")</f>
        <v xml:space="preserve"> </v>
      </c>
      <c r="W35" s="4" t="e">
        <f>IF(A35&lt;('2. Inputs and results'!$B$21+1),W34+C35+Y35-$V$6,NA())</f>
        <v>#N/A</v>
      </c>
      <c r="X35" s="4" t="str">
        <f>IF(A35&lt;('2. Inputs and results'!$B$21+1),'2. Inputs and results'!$B$79*W34," ")</f>
        <v xml:space="preserve"> </v>
      </c>
      <c r="Y35" s="4">
        <f t="shared" si="2"/>
        <v>0</v>
      </c>
      <c r="Z35" s="4" t="e">
        <f>IF(A35&lt;('2. Inputs and results'!$B$21+1),Z34+(C35-$V$6+Y35)/((1+$P$2)^A35),NA())</f>
        <v>#N/A</v>
      </c>
      <c r="AA35" s="4" t="str">
        <f>IF(A35&lt;('2. Inputs and results'!$B$21+1),AA34+(G35+I35+H35+T35-$V$6)," ")</f>
        <v xml:space="preserve"> </v>
      </c>
      <c r="AB35" s="20" t="e">
        <f>IF(A35&lt;('2. Inputs and results'!$B$21+1),AA35/L35,NA())</f>
        <v>#N/A</v>
      </c>
      <c r="AC35" s="29" t="str">
        <f>IF(A35&lt;('2. Inputs and results'!$B$21+1),AC34+(C35+Y35-$V$6)," ")</f>
        <v xml:space="preserve"> </v>
      </c>
      <c r="AD35" s="20" t="e">
        <f>IF(A35&lt;('2. Inputs and results'!$B$21+1),AC35/L35,NA())</f>
        <v>#N/A</v>
      </c>
      <c r="AE35" t="str">
        <f>IF(A35&lt;('2. Inputs and results'!$B$21+1),-'2. Inputs and results'!$B$121*A35," ")</f>
        <v xml:space="preserve"> </v>
      </c>
      <c r="AF35" t="e">
        <f>IF(A35&lt;('2. Inputs and results'!$B$21+1),AE35/1000,NA())</f>
        <v>#N/A</v>
      </c>
    </row>
    <row r="36" spans="1:32" x14ac:dyDescent="0.25">
      <c r="A36">
        <f t="shared" si="0"/>
        <v>31</v>
      </c>
      <c r="B36" t="str">
        <f>IF(A36&lt;('2. Inputs and results'!$B$21+1),A36," ")</f>
        <v xml:space="preserve"> </v>
      </c>
      <c r="C36" s="4" t="str">
        <f>IF(A36&lt;('2. Inputs and results'!$B$21+1),'2. Inputs and results'!$B$99+'2. Inputs and results'!$B$101," ")</f>
        <v xml:space="preserve"> </v>
      </c>
      <c r="D36" s="4" t="e">
        <f>IF(A36&lt;('2. Inputs and results'!$B$21+1),D35+C36,NA())</f>
        <v>#N/A</v>
      </c>
      <c r="E36" s="4" t="str">
        <f>IF(B36&lt;('2. Inputs and results'!$B$21+1),C36/((1+$P$2)^A36)," ")</f>
        <v xml:space="preserve"> </v>
      </c>
      <c r="F36" s="4" t="str">
        <f>IF(A36&lt;('2. Inputs and results'!$B$21+1),F35+E36," ")</f>
        <v xml:space="preserve"> </v>
      </c>
      <c r="G36" s="4" t="str">
        <f>IF(A36&lt;('2. Inputs and results'!$B$21+1),G35*(1+'2. Inputs and results'!$B$46)," ")</f>
        <v xml:space="preserve"> </v>
      </c>
      <c r="H36" s="4" t="str">
        <f>IF(A36&lt;('2. Inputs and results'!$B$21+1),H35*(1+'2. Inputs and results'!$B$58)," ")</f>
        <v xml:space="preserve"> </v>
      </c>
      <c r="I36" s="4" t="str">
        <f>IF(A36&lt;('2. Inputs and results'!$B$21+1),I35*(1+'2. Inputs and results'!$B$34)," ")</f>
        <v xml:space="preserve"> </v>
      </c>
      <c r="J36" s="4" t="str">
        <f>IF(A36&lt;('2. Inputs and results'!$B$21+1),J35*(1+'2. Inputs and results'!$B$68)," ")</f>
        <v xml:space="preserve"> </v>
      </c>
      <c r="K36" s="4" t="e">
        <f>IF('Solution 1, (hidden) (2)'!A36&lt;('2. Inputs and results'!$B$21+1),K35+(G36+I36+H36+J36),NA())</f>
        <v>#N/A</v>
      </c>
      <c r="L36" s="4" t="e">
        <f>IF(A36&lt;('2. Inputs and results'!$B$21+1),L35,NA())</f>
        <v>#N/A</v>
      </c>
      <c r="M36" s="4" t="str">
        <f>IF(A36&lt;('2. Inputs and results'!$B$21+1),'2. Inputs and results'!$B$75*'2. Inputs and results'!$B$73," ")</f>
        <v xml:space="preserve"> </v>
      </c>
      <c r="N36" s="4" t="str">
        <f>IF(A36&lt;('2. Inputs and results'!$B$21+1),M36/((1+$P$2)^A36)," ")</f>
        <v xml:space="preserve"> </v>
      </c>
      <c r="O36" s="4" t="str">
        <f>IF(A36&lt;('2. Inputs and results'!$B$21+1),'2. Inputs and results'!$B$73*'2. Inputs and results'!$B$75+O35," ")</f>
        <v xml:space="preserve"> </v>
      </c>
      <c r="P36" s="4" t="str">
        <f>IF(A36&lt;('2. Inputs and results'!$B$21+1),(G36+I36+H36+J36)/((1+$P$2)^A36)," ")</f>
        <v xml:space="preserve"> </v>
      </c>
      <c r="Q36" s="4" t="str">
        <f>IF(A36&lt;('2. Inputs and results'!$B$21+1),Q35+P36," ")</f>
        <v xml:space="preserve"> </v>
      </c>
      <c r="R36" s="4" t="e">
        <f>IF(A36&lt;('2. Inputs and results'!$B$21+1),R35+G36+I36+H36+J36+T36-$V$6,NA())</f>
        <v>#N/A</v>
      </c>
      <c r="S36" s="4" t="str">
        <f>IF(A36&lt;('2. Inputs and results'!$B$21+1),'2. Inputs and results'!$B$79*(R35)," ")</f>
        <v xml:space="preserve"> </v>
      </c>
      <c r="T36" s="4">
        <f t="shared" si="1"/>
        <v>0</v>
      </c>
      <c r="U36" s="4" t="e">
        <f>IF(A36&lt;('2. Inputs and results'!$B$21+1),U35+(T36+I36+G36+H36+J36-$V$6)/((1+$P$2)^A36),NA())</f>
        <v>#N/A</v>
      </c>
      <c r="V36" s="4" t="str">
        <f>IF(A36&lt;('2. Inputs and results'!$B$21+1),V35+('2. Inputs and results'!$B$75*'2. Inputs and results'!$B$73)," ")</f>
        <v xml:space="preserve"> </v>
      </c>
      <c r="W36" s="4" t="e">
        <f>IF(A36&lt;('2. Inputs and results'!$B$21+1),W35+C36+Y36-$V$6,NA())</f>
        <v>#N/A</v>
      </c>
      <c r="X36" s="4" t="str">
        <f>IF(A36&lt;('2. Inputs and results'!$B$21+1),'2. Inputs and results'!$B$79*W35," ")</f>
        <v xml:space="preserve"> </v>
      </c>
      <c r="Y36" s="4">
        <f t="shared" si="2"/>
        <v>0</v>
      </c>
      <c r="Z36" s="4" t="e">
        <f>IF(A36&lt;('2. Inputs and results'!$B$21+1),Z35+(C36-$V$6+Y36)/((1+$P$2)^A36),NA())</f>
        <v>#N/A</v>
      </c>
      <c r="AA36" s="4" t="str">
        <f>IF(A36&lt;('2. Inputs and results'!$B$21+1),AA35+(G36+I36+H36+T36-$V$6)," ")</f>
        <v xml:space="preserve"> </v>
      </c>
      <c r="AB36" s="20" t="e">
        <f>IF(A36&lt;('2. Inputs and results'!$B$21+1),AA36/L36,NA())</f>
        <v>#N/A</v>
      </c>
      <c r="AC36" s="29" t="str">
        <f>IF(A36&lt;('2. Inputs and results'!$B$21+1),AC35+(C36+Y36-$V$6)," ")</f>
        <v xml:space="preserve"> </v>
      </c>
      <c r="AD36" s="20" t="e">
        <f>IF(A36&lt;('2. Inputs and results'!$B$21+1),AC36/L36,NA())</f>
        <v>#N/A</v>
      </c>
      <c r="AE36" t="str">
        <f>IF(A36&lt;('2. Inputs and results'!$B$21+1),-'2. Inputs and results'!$B$121*A36," ")</f>
        <v xml:space="preserve"> </v>
      </c>
      <c r="AF36" t="e">
        <f>IF(A36&lt;('2. Inputs and results'!$B$21+1),AE36/1000,NA())</f>
        <v>#N/A</v>
      </c>
    </row>
    <row r="37" spans="1:32" x14ac:dyDescent="0.25">
      <c r="A37">
        <f t="shared" si="0"/>
        <v>32</v>
      </c>
      <c r="B37" t="str">
        <f>IF(A37&lt;('2. Inputs and results'!$B$21+1),A37," ")</f>
        <v xml:space="preserve"> </v>
      </c>
      <c r="C37" s="4" t="str">
        <f>IF(A37&lt;('2. Inputs and results'!$B$21+1),'2. Inputs and results'!$B$99+'2. Inputs and results'!$B$101," ")</f>
        <v xml:space="preserve"> </v>
      </c>
      <c r="D37" s="4" t="e">
        <f>IF(A37&lt;('2. Inputs and results'!$B$21+1),D36+C37,NA())</f>
        <v>#N/A</v>
      </c>
      <c r="E37" s="4" t="str">
        <f>IF(B37&lt;('2. Inputs and results'!$B$21+1),C37/((1+$P$2)^A37)," ")</f>
        <v xml:space="preserve"> </v>
      </c>
      <c r="F37" s="4" t="str">
        <f>IF(A37&lt;('2. Inputs and results'!$B$21+1),F36+E37," ")</f>
        <v xml:space="preserve"> </v>
      </c>
      <c r="G37" s="4" t="str">
        <f>IF(A37&lt;('2. Inputs and results'!$B$21+1),G36*(1+'2. Inputs and results'!$B$46)," ")</f>
        <v xml:space="preserve"> </v>
      </c>
      <c r="H37" s="4" t="str">
        <f>IF(A37&lt;('2. Inputs and results'!$B$21+1),H36*(1+'2. Inputs and results'!$B$58)," ")</f>
        <v xml:space="preserve"> </v>
      </c>
      <c r="I37" s="4" t="str">
        <f>IF(A37&lt;('2. Inputs and results'!$B$21+1),I36*(1+'2. Inputs and results'!$B$34)," ")</f>
        <v xml:space="preserve"> </v>
      </c>
      <c r="J37" s="4" t="str">
        <f>IF(A37&lt;('2. Inputs and results'!$B$21+1),J36*(1+'2. Inputs and results'!$B$68)," ")</f>
        <v xml:space="preserve"> </v>
      </c>
      <c r="K37" s="4" t="e">
        <f>IF('Solution 1, (hidden) (2)'!A37&lt;('2. Inputs and results'!$B$21+1),K36+(G37+I37+H37+J37),NA())</f>
        <v>#N/A</v>
      </c>
      <c r="L37" s="4" t="e">
        <f>IF(A37&lt;('2. Inputs and results'!$B$21+1),L36,NA())</f>
        <v>#N/A</v>
      </c>
      <c r="M37" s="4" t="str">
        <f>IF(A37&lt;('2. Inputs and results'!$B$21+1),'2. Inputs and results'!$B$75*'2. Inputs and results'!$B$73," ")</f>
        <v xml:space="preserve"> </v>
      </c>
      <c r="N37" s="4" t="str">
        <f>IF(A37&lt;('2. Inputs and results'!$B$21+1),M37/((1+$P$2)^A37)," ")</f>
        <v xml:space="preserve"> </v>
      </c>
      <c r="O37" s="4" t="str">
        <f>IF(A37&lt;('2. Inputs and results'!$B$21+1),'2. Inputs and results'!$B$73*'2. Inputs and results'!$B$75+O36," ")</f>
        <v xml:space="preserve"> </v>
      </c>
      <c r="P37" s="4" t="str">
        <f>IF(A37&lt;('2. Inputs and results'!$B$21+1),(G37+I37+H37+J37)/((1+$P$2)^A37)," ")</f>
        <v xml:space="preserve"> </v>
      </c>
      <c r="Q37" s="4" t="str">
        <f>IF(A37&lt;('2. Inputs and results'!$B$21+1),Q36+P37," ")</f>
        <v xml:space="preserve"> </v>
      </c>
      <c r="R37" s="4" t="e">
        <f>IF(A37&lt;('2. Inputs and results'!$B$21+1),R36+G37+I37+H37+J37+T37-$V$6,NA())</f>
        <v>#N/A</v>
      </c>
      <c r="S37" s="4" t="str">
        <f>IF(A37&lt;('2. Inputs and results'!$B$21+1),'2. Inputs and results'!$B$79*(R36)," ")</f>
        <v xml:space="preserve"> </v>
      </c>
      <c r="T37" s="4">
        <f t="shared" si="1"/>
        <v>0</v>
      </c>
      <c r="U37" s="4" t="e">
        <f>IF(A37&lt;('2. Inputs and results'!$B$21+1),U36+(T37+I37+G37+H37+J37-$V$6)/((1+$P$2)^A37),NA())</f>
        <v>#N/A</v>
      </c>
      <c r="V37" s="4" t="str">
        <f>IF(A37&lt;('2. Inputs and results'!$B$21+1),V36+('2. Inputs and results'!$B$75*'2. Inputs and results'!$B$73)," ")</f>
        <v xml:space="preserve"> </v>
      </c>
      <c r="W37" s="4" t="e">
        <f>IF(A37&lt;('2. Inputs and results'!$B$21+1),W36+C37+Y37-$V$6,NA())</f>
        <v>#N/A</v>
      </c>
      <c r="X37" s="4" t="str">
        <f>IF(A37&lt;('2. Inputs and results'!$B$21+1),'2. Inputs and results'!$B$79*W36," ")</f>
        <v xml:space="preserve"> </v>
      </c>
      <c r="Y37" s="4">
        <f t="shared" si="2"/>
        <v>0</v>
      </c>
      <c r="Z37" s="4" t="e">
        <f>IF(A37&lt;('2. Inputs and results'!$B$21+1),Z36+(C37-$V$6+Y37)/((1+$P$2)^A37),NA())</f>
        <v>#N/A</v>
      </c>
      <c r="AA37" s="4" t="str">
        <f>IF(A37&lt;('2. Inputs and results'!$B$21+1),AA36+(G37+I37+H37+T37-$V$6)," ")</f>
        <v xml:space="preserve"> </v>
      </c>
      <c r="AB37" s="20" t="e">
        <f>IF(A37&lt;('2. Inputs and results'!$B$21+1),AA37/L37,NA())</f>
        <v>#N/A</v>
      </c>
      <c r="AC37" s="29" t="str">
        <f>IF(A37&lt;('2. Inputs and results'!$B$21+1),AC36+(C37+Y37-$V$6)," ")</f>
        <v xml:space="preserve"> </v>
      </c>
      <c r="AD37" s="20" t="e">
        <f>IF(A37&lt;('2. Inputs and results'!$B$21+1),AC37/L37,NA())</f>
        <v>#N/A</v>
      </c>
      <c r="AE37" t="str">
        <f>IF(A37&lt;('2. Inputs and results'!$B$21+1),-'2. Inputs and results'!$B$121*A37," ")</f>
        <v xml:space="preserve"> </v>
      </c>
      <c r="AF37" t="e">
        <f>IF(A37&lt;('2. Inputs and results'!$B$21+1),AE37/1000,NA())</f>
        <v>#N/A</v>
      </c>
    </row>
    <row r="38" spans="1:32" x14ac:dyDescent="0.25">
      <c r="A38">
        <f t="shared" si="0"/>
        <v>33</v>
      </c>
      <c r="B38" t="str">
        <f>IF(A38&lt;('2. Inputs and results'!$B$21+1),A38," ")</f>
        <v xml:space="preserve"> </v>
      </c>
      <c r="C38" s="4" t="str">
        <f>IF(A38&lt;('2. Inputs and results'!$B$21+1),'2. Inputs and results'!$B$99+'2. Inputs and results'!$B$101," ")</f>
        <v xml:space="preserve"> </v>
      </c>
      <c r="D38" s="4" t="e">
        <f>IF(A38&lt;('2. Inputs and results'!$B$21+1),D37+C38,NA())</f>
        <v>#N/A</v>
      </c>
      <c r="E38" s="4" t="str">
        <f>IF(B38&lt;('2. Inputs and results'!$B$21+1),C38/((1+$P$2)^A38)," ")</f>
        <v xml:space="preserve"> </v>
      </c>
      <c r="F38" s="4" t="str">
        <f>IF(A38&lt;('2. Inputs and results'!$B$21+1),F37+E38," ")</f>
        <v xml:space="preserve"> </v>
      </c>
      <c r="G38" s="4" t="str">
        <f>IF(A38&lt;('2. Inputs and results'!$B$21+1),G37*(1+'2. Inputs and results'!$B$46)," ")</f>
        <v xml:space="preserve"> </v>
      </c>
      <c r="H38" s="4" t="str">
        <f>IF(A38&lt;('2. Inputs and results'!$B$21+1),H37*(1+'2. Inputs and results'!$B$58)," ")</f>
        <v xml:space="preserve"> </v>
      </c>
      <c r="I38" s="4" t="str">
        <f>IF(A38&lt;('2. Inputs and results'!$B$21+1),I37*(1+'2. Inputs and results'!$B$34)," ")</f>
        <v xml:space="preserve"> </v>
      </c>
      <c r="J38" s="4" t="str">
        <f>IF(A38&lt;('2. Inputs and results'!$B$21+1),J37*(1+'2. Inputs and results'!$B$68)," ")</f>
        <v xml:space="preserve"> </v>
      </c>
      <c r="K38" s="4" t="e">
        <f>IF('Solution 1, (hidden) (2)'!A38&lt;('2. Inputs and results'!$B$21+1),K37+(G38+I38+H38+J38),NA())</f>
        <v>#N/A</v>
      </c>
      <c r="L38" s="4" t="e">
        <f>IF(A38&lt;('2. Inputs and results'!$B$21+1),L37,NA())</f>
        <v>#N/A</v>
      </c>
      <c r="M38" s="4" t="str">
        <f>IF(A38&lt;('2. Inputs and results'!$B$21+1),'2. Inputs and results'!$B$75*'2. Inputs and results'!$B$73," ")</f>
        <v xml:space="preserve"> </v>
      </c>
      <c r="N38" s="4" t="str">
        <f>IF(A38&lt;('2. Inputs and results'!$B$21+1),M38/((1+$P$2)^A38)," ")</f>
        <v xml:space="preserve"> </v>
      </c>
      <c r="O38" s="4" t="str">
        <f>IF(A38&lt;('2. Inputs and results'!$B$21+1),'2. Inputs and results'!$B$73*'2. Inputs and results'!$B$75+O37," ")</f>
        <v xml:space="preserve"> </v>
      </c>
      <c r="P38" s="4" t="str">
        <f>IF(A38&lt;('2. Inputs and results'!$B$21+1),(G38+I38+H38+J38)/((1+$P$2)^A38)," ")</f>
        <v xml:space="preserve"> </v>
      </c>
      <c r="Q38" s="4" t="str">
        <f>IF(A38&lt;('2. Inputs and results'!$B$21+1),Q37+P38," ")</f>
        <v xml:space="preserve"> </v>
      </c>
      <c r="R38" s="4" t="e">
        <f>IF(A38&lt;('2. Inputs and results'!$B$21+1),R37+G38+I38+H38+J38+T38-$V$6,NA())</f>
        <v>#N/A</v>
      </c>
      <c r="S38" s="4" t="str">
        <f>IF(A38&lt;('2. Inputs and results'!$B$21+1),'2. Inputs and results'!$B$79*(R37)," ")</f>
        <v xml:space="preserve"> </v>
      </c>
      <c r="T38" s="4">
        <f t="shared" si="1"/>
        <v>0</v>
      </c>
      <c r="U38" s="4" t="e">
        <f>IF(A38&lt;('2. Inputs and results'!$B$21+1),U37+(T38+I38+G38+H38+J38-$V$6)/((1+$P$2)^A38),NA())</f>
        <v>#N/A</v>
      </c>
      <c r="V38" s="4" t="str">
        <f>IF(A38&lt;('2. Inputs and results'!$B$21+1),V37+('2. Inputs and results'!$B$75*'2. Inputs and results'!$B$73)," ")</f>
        <v xml:space="preserve"> </v>
      </c>
      <c r="W38" s="4" t="e">
        <f>IF(A38&lt;('2. Inputs and results'!$B$21+1),W37+C38+Y38-$V$6,NA())</f>
        <v>#N/A</v>
      </c>
      <c r="X38" s="4" t="str">
        <f>IF(A38&lt;('2. Inputs and results'!$B$21+1),'2. Inputs and results'!$B$79*W37," ")</f>
        <v xml:space="preserve"> </v>
      </c>
      <c r="Y38" s="4">
        <f t="shared" si="2"/>
        <v>0</v>
      </c>
      <c r="Z38" s="4" t="e">
        <f>IF(A38&lt;('2. Inputs and results'!$B$21+1),Z37+(C38-$V$6+Y38)/((1+$P$2)^A38),NA())</f>
        <v>#N/A</v>
      </c>
      <c r="AA38" s="4" t="str">
        <f>IF(A38&lt;('2. Inputs and results'!$B$21+1),AA37+(G38+I38+H38+T38-$V$6)," ")</f>
        <v xml:space="preserve"> </v>
      </c>
      <c r="AB38" s="20" t="e">
        <f>IF(A38&lt;('2. Inputs and results'!$B$21+1),AA38/L38,NA())</f>
        <v>#N/A</v>
      </c>
      <c r="AC38" s="29" t="str">
        <f>IF(A38&lt;('2. Inputs and results'!$B$21+1),AC37+(C38+Y38-$V$6)," ")</f>
        <v xml:space="preserve"> </v>
      </c>
      <c r="AD38" s="20" t="e">
        <f>IF(A38&lt;('2. Inputs and results'!$B$21+1),AC38/L38,NA())</f>
        <v>#N/A</v>
      </c>
      <c r="AE38" t="str">
        <f>IF(A38&lt;('2. Inputs and results'!$B$21+1),-'2. Inputs and results'!$B$121*A38," ")</f>
        <v xml:space="preserve"> </v>
      </c>
      <c r="AF38" t="e">
        <f>IF(A38&lt;('2. Inputs and results'!$B$21+1),AE38/1000,NA())</f>
        <v>#N/A</v>
      </c>
    </row>
    <row r="39" spans="1:32" x14ac:dyDescent="0.25">
      <c r="A39">
        <f t="shared" si="0"/>
        <v>34</v>
      </c>
      <c r="B39" t="str">
        <f>IF(A39&lt;('2. Inputs and results'!$B$21+1),A39," ")</f>
        <v xml:space="preserve"> </v>
      </c>
      <c r="C39" s="4" t="str">
        <f>IF(A39&lt;('2. Inputs and results'!$B$21+1),'2. Inputs and results'!$B$99+'2. Inputs and results'!$B$101," ")</f>
        <v xml:space="preserve"> </v>
      </c>
      <c r="D39" s="4" t="e">
        <f>IF(A39&lt;('2. Inputs and results'!$B$21+1),D38+C39,NA())</f>
        <v>#N/A</v>
      </c>
      <c r="E39" s="4" t="str">
        <f>IF(B39&lt;('2. Inputs and results'!$B$21+1),C39/((1+$P$2)^A39)," ")</f>
        <v xml:space="preserve"> </v>
      </c>
      <c r="F39" s="4" t="str">
        <f>IF(A39&lt;('2. Inputs and results'!$B$21+1),F38+E39," ")</f>
        <v xml:space="preserve"> </v>
      </c>
      <c r="G39" s="4" t="str">
        <f>IF(A39&lt;('2. Inputs and results'!$B$21+1),G38*(1+'2. Inputs and results'!$B$46)," ")</f>
        <v xml:space="preserve"> </v>
      </c>
      <c r="H39" s="4" t="str">
        <f>IF(A39&lt;('2. Inputs and results'!$B$21+1),H38*(1+'2. Inputs and results'!$B$58)," ")</f>
        <v xml:space="preserve"> </v>
      </c>
      <c r="I39" s="4" t="str">
        <f>IF(A39&lt;('2. Inputs and results'!$B$21+1),I38*(1+'2. Inputs and results'!$B$34)," ")</f>
        <v xml:space="preserve"> </v>
      </c>
      <c r="J39" s="4" t="str">
        <f>IF(A39&lt;('2. Inputs and results'!$B$21+1),J38*(1+'2. Inputs and results'!$B$68)," ")</f>
        <v xml:space="preserve"> </v>
      </c>
      <c r="K39" s="4" t="e">
        <f>IF('Solution 1, (hidden) (2)'!A39&lt;('2. Inputs and results'!$B$21+1),K38+(G39+I39+H39+J39),NA())</f>
        <v>#N/A</v>
      </c>
      <c r="L39" s="4" t="e">
        <f>IF(A39&lt;('2. Inputs and results'!$B$21+1),L38,NA())</f>
        <v>#N/A</v>
      </c>
      <c r="M39" s="4" t="str">
        <f>IF(A39&lt;('2. Inputs and results'!$B$21+1),'2. Inputs and results'!$B$75*'2. Inputs and results'!$B$73," ")</f>
        <v xml:space="preserve"> </v>
      </c>
      <c r="N39" s="4" t="str">
        <f>IF(A39&lt;('2. Inputs and results'!$B$21+1),M39/((1+$P$2)^A39)," ")</f>
        <v xml:space="preserve"> </v>
      </c>
      <c r="O39" s="4" t="str">
        <f>IF(A39&lt;('2. Inputs and results'!$B$21+1),'2. Inputs and results'!$B$73*'2. Inputs and results'!$B$75+O38," ")</f>
        <v xml:space="preserve"> </v>
      </c>
      <c r="P39" s="4" t="str">
        <f>IF(A39&lt;('2. Inputs and results'!$B$21+1),(G39+I39+H39+J39)/((1+$P$2)^A39)," ")</f>
        <v xml:space="preserve"> </v>
      </c>
      <c r="Q39" s="4" t="str">
        <f>IF(A39&lt;('2. Inputs and results'!$B$21+1),Q38+P39," ")</f>
        <v xml:space="preserve"> </v>
      </c>
      <c r="R39" s="4" t="e">
        <f>IF(A39&lt;('2. Inputs and results'!$B$21+1),R38+G39+I39+H39+J39+T39-$V$6,NA())</f>
        <v>#N/A</v>
      </c>
      <c r="S39" s="4" t="str">
        <f>IF(A39&lt;('2. Inputs and results'!$B$21+1),'2. Inputs and results'!$B$79*(R38)," ")</f>
        <v xml:space="preserve"> </v>
      </c>
      <c r="T39" s="4">
        <f t="shared" si="1"/>
        <v>0</v>
      </c>
      <c r="U39" s="4" t="e">
        <f>IF(A39&lt;('2. Inputs and results'!$B$21+1),U38+(T39+I39+G39+H39+J39-$V$6)/((1+$P$2)^A39),NA())</f>
        <v>#N/A</v>
      </c>
      <c r="V39" s="4" t="str">
        <f>IF(A39&lt;('2. Inputs and results'!$B$21+1),V38+('2. Inputs and results'!$B$75*'2. Inputs and results'!$B$73)," ")</f>
        <v xml:space="preserve"> </v>
      </c>
      <c r="W39" s="4" t="e">
        <f>IF(A39&lt;('2. Inputs and results'!$B$21+1),W38+C39+Y39-$V$6,NA())</f>
        <v>#N/A</v>
      </c>
      <c r="X39" s="4" t="str">
        <f>IF(A39&lt;('2. Inputs and results'!$B$21+1),'2. Inputs and results'!$B$79*W38," ")</f>
        <v xml:space="preserve"> </v>
      </c>
      <c r="Y39" s="4">
        <f t="shared" si="2"/>
        <v>0</v>
      </c>
      <c r="Z39" s="4" t="e">
        <f>IF(A39&lt;('2. Inputs and results'!$B$21+1),Z38+(C39-$V$6+Y39)/((1+$P$2)^A39),NA())</f>
        <v>#N/A</v>
      </c>
      <c r="AA39" s="4" t="str">
        <f>IF(A39&lt;('2. Inputs and results'!$B$21+1),AA38+(G39+I39+H39+T39-$V$6)," ")</f>
        <v xml:space="preserve"> </v>
      </c>
      <c r="AB39" s="20" t="e">
        <f>IF(A39&lt;('2. Inputs and results'!$B$21+1),AA39/L39,NA())</f>
        <v>#N/A</v>
      </c>
      <c r="AC39" s="29" t="str">
        <f>IF(A39&lt;('2. Inputs and results'!$B$21+1),AC38+(C39+Y39-$V$6)," ")</f>
        <v xml:space="preserve"> </v>
      </c>
      <c r="AD39" s="20" t="e">
        <f>IF(A39&lt;('2. Inputs and results'!$B$21+1),AC39/L39,NA())</f>
        <v>#N/A</v>
      </c>
      <c r="AE39" t="str">
        <f>IF(A39&lt;('2. Inputs and results'!$B$21+1),-'2. Inputs and results'!$B$121*A39," ")</f>
        <v xml:space="preserve"> </v>
      </c>
      <c r="AF39" t="e">
        <f>IF(A39&lt;('2. Inputs and results'!$B$21+1),AE39/1000,NA())</f>
        <v>#N/A</v>
      </c>
    </row>
    <row r="40" spans="1:32" x14ac:dyDescent="0.25">
      <c r="A40">
        <f t="shared" si="0"/>
        <v>35</v>
      </c>
      <c r="B40" t="str">
        <f>IF(A40&lt;('2. Inputs and results'!$B$21+1),A40," ")</f>
        <v xml:space="preserve"> </v>
      </c>
      <c r="C40" s="4" t="str">
        <f>IF(A40&lt;('2. Inputs and results'!$B$21+1),'2. Inputs and results'!$B$99+'2. Inputs and results'!$B$101," ")</f>
        <v xml:space="preserve"> </v>
      </c>
      <c r="D40" s="4" t="e">
        <f>IF(A40&lt;('2. Inputs and results'!$B$21+1),D39+C40,NA())</f>
        <v>#N/A</v>
      </c>
      <c r="E40" s="4" t="str">
        <f>IF(B40&lt;('2. Inputs and results'!$B$21+1),C40/((1+$P$2)^A40)," ")</f>
        <v xml:space="preserve"> </v>
      </c>
      <c r="F40" s="4" t="str">
        <f>IF(A40&lt;('2. Inputs and results'!$B$21+1),F39+E40," ")</f>
        <v xml:space="preserve"> </v>
      </c>
      <c r="G40" s="4" t="str">
        <f>IF(A40&lt;('2. Inputs and results'!$B$21+1),G39*(1+'2. Inputs and results'!$B$46)," ")</f>
        <v xml:space="preserve"> </v>
      </c>
      <c r="H40" s="4" t="str">
        <f>IF(A40&lt;('2. Inputs and results'!$B$21+1),H39*(1+'2. Inputs and results'!$B$58)," ")</f>
        <v xml:space="preserve"> </v>
      </c>
      <c r="I40" s="4" t="str">
        <f>IF(A40&lt;('2. Inputs and results'!$B$21+1),I39*(1+'2. Inputs and results'!$B$34)," ")</f>
        <v xml:space="preserve"> </v>
      </c>
      <c r="J40" s="4" t="str">
        <f>IF(A40&lt;('2. Inputs and results'!$B$21+1),J39*(1+'2. Inputs and results'!$B$68)," ")</f>
        <v xml:space="preserve"> </v>
      </c>
      <c r="K40" s="4" t="e">
        <f>IF('Solution 1, (hidden) (2)'!A40&lt;('2. Inputs and results'!$B$21+1),K39+(G40+I40+H40+J40),NA())</f>
        <v>#N/A</v>
      </c>
      <c r="L40" s="4" t="e">
        <f>IF(A40&lt;('2. Inputs and results'!$B$21+1),L39,NA())</f>
        <v>#N/A</v>
      </c>
      <c r="M40" s="4" t="str">
        <f>IF(A40&lt;('2. Inputs and results'!$B$21+1),'2. Inputs and results'!$B$75*'2. Inputs and results'!$B$73," ")</f>
        <v xml:space="preserve"> </v>
      </c>
      <c r="N40" s="4" t="str">
        <f>IF(A40&lt;('2. Inputs and results'!$B$21+1),M40/((1+$P$2)^A40)," ")</f>
        <v xml:space="preserve"> </v>
      </c>
      <c r="O40" s="4" t="str">
        <f>IF(A40&lt;('2. Inputs and results'!$B$21+1),'2. Inputs and results'!$B$73*'2. Inputs and results'!$B$75+O39," ")</f>
        <v xml:space="preserve"> </v>
      </c>
      <c r="P40" s="4" t="str">
        <f>IF(A40&lt;('2. Inputs and results'!$B$21+1),(G40+I40+H40+J40)/((1+$P$2)^A40)," ")</f>
        <v xml:space="preserve"> </v>
      </c>
      <c r="Q40" s="4" t="str">
        <f>IF(A40&lt;('2. Inputs and results'!$B$21+1),Q39+P40," ")</f>
        <v xml:space="preserve"> </v>
      </c>
      <c r="R40" s="4" t="e">
        <f>IF(A40&lt;('2. Inputs and results'!$B$21+1),R39+G40+I40+H40+J40+T40-$V$6,NA())</f>
        <v>#N/A</v>
      </c>
      <c r="S40" s="4" t="str">
        <f>IF(A40&lt;('2. Inputs and results'!$B$21+1),'2. Inputs and results'!$B$79*(R39)," ")</f>
        <v xml:space="preserve"> </v>
      </c>
      <c r="T40" s="4">
        <f t="shared" si="1"/>
        <v>0</v>
      </c>
      <c r="U40" s="4" t="e">
        <f>IF(A40&lt;('2. Inputs and results'!$B$21+1),U39+(T40+I40+G40+H40+J40-$V$6)/((1+$P$2)^A40),NA())</f>
        <v>#N/A</v>
      </c>
      <c r="V40" s="4" t="str">
        <f>IF(A40&lt;('2. Inputs and results'!$B$21+1),V39+('2. Inputs and results'!$B$75*'2. Inputs and results'!$B$73)," ")</f>
        <v xml:space="preserve"> </v>
      </c>
      <c r="W40" s="4" t="e">
        <f>IF(A40&lt;('2. Inputs and results'!$B$21+1),W39+C40+Y40-$V$6,NA())</f>
        <v>#N/A</v>
      </c>
      <c r="X40" s="4" t="str">
        <f>IF(A40&lt;('2. Inputs and results'!$B$21+1),'2. Inputs and results'!$B$79*W39," ")</f>
        <v xml:space="preserve"> </v>
      </c>
      <c r="Y40" s="4">
        <f t="shared" si="2"/>
        <v>0</v>
      </c>
      <c r="Z40" s="4" t="e">
        <f>IF(A40&lt;('2. Inputs and results'!$B$21+1),Z39+(C40-$V$6+Y40)/((1+$P$2)^A40),NA())</f>
        <v>#N/A</v>
      </c>
      <c r="AA40" s="4" t="str">
        <f>IF(A40&lt;('2. Inputs and results'!$B$21+1),AA39+(G40+I40+H40+T40-$V$6)," ")</f>
        <v xml:space="preserve"> </v>
      </c>
      <c r="AB40" s="20" t="e">
        <f>IF(A40&lt;('2. Inputs and results'!$B$21+1),AA40/L40,NA())</f>
        <v>#N/A</v>
      </c>
      <c r="AC40" s="29" t="str">
        <f>IF(A40&lt;('2. Inputs and results'!$B$21+1),AC39+(C40+Y40-$V$6)," ")</f>
        <v xml:space="preserve"> </v>
      </c>
      <c r="AD40" s="20" t="e">
        <f>IF(A40&lt;('2. Inputs and results'!$B$21+1),AC40/L40,NA())</f>
        <v>#N/A</v>
      </c>
      <c r="AE40" t="str">
        <f>IF(A40&lt;('2. Inputs and results'!$B$21+1),-'2. Inputs and results'!$B$121*A40," ")</f>
        <v xml:space="preserve"> </v>
      </c>
      <c r="AF40" t="e">
        <f>IF(A40&lt;('2. Inputs and results'!$B$21+1),AE40/1000,NA())</f>
        <v>#N/A</v>
      </c>
    </row>
    <row r="41" spans="1:32" x14ac:dyDescent="0.25">
      <c r="A41">
        <f t="shared" si="0"/>
        <v>36</v>
      </c>
      <c r="B41" t="str">
        <f>IF(A41&lt;('2. Inputs and results'!$B$21+1),A41," ")</f>
        <v xml:space="preserve"> </v>
      </c>
      <c r="C41" s="4" t="str">
        <f>IF(A41&lt;('2. Inputs and results'!$B$21+1),'2. Inputs and results'!$B$99+'2. Inputs and results'!$B$101," ")</f>
        <v xml:space="preserve"> </v>
      </c>
      <c r="D41" s="4" t="e">
        <f>IF(A41&lt;('2. Inputs and results'!$B$21+1),D40+C41,NA())</f>
        <v>#N/A</v>
      </c>
      <c r="E41" s="4" t="str">
        <f>IF(B41&lt;('2. Inputs and results'!$B$21+1),C41/((1+$P$2)^A41)," ")</f>
        <v xml:space="preserve"> </v>
      </c>
      <c r="F41" s="4" t="str">
        <f>IF(A41&lt;('2. Inputs and results'!$B$21+1),F40+E41," ")</f>
        <v xml:space="preserve"> </v>
      </c>
      <c r="G41" s="4" t="str">
        <f>IF(A41&lt;('2. Inputs and results'!$B$21+1),G40*(1+'2. Inputs and results'!$B$46)," ")</f>
        <v xml:space="preserve"> </v>
      </c>
      <c r="H41" s="4" t="str">
        <f>IF(A41&lt;('2. Inputs and results'!$B$21+1),H40*(1+'2. Inputs and results'!$B$58)," ")</f>
        <v xml:space="preserve"> </v>
      </c>
      <c r="I41" s="4" t="str">
        <f>IF(A41&lt;('2. Inputs and results'!$B$21+1),I40*(1+'2. Inputs and results'!$B$34)," ")</f>
        <v xml:space="preserve"> </v>
      </c>
      <c r="J41" s="4" t="str">
        <f>IF(A41&lt;('2. Inputs and results'!$B$21+1),J40*(1+'2. Inputs and results'!$B$68)," ")</f>
        <v xml:space="preserve"> </v>
      </c>
      <c r="K41" s="4" t="e">
        <f>IF('Solution 1, (hidden) (2)'!A41&lt;('2. Inputs and results'!$B$21+1),K40+(G41+I41+H41+J41),NA())</f>
        <v>#N/A</v>
      </c>
      <c r="L41" s="4" t="e">
        <f>IF(A41&lt;('2. Inputs and results'!$B$21+1),L40,NA())</f>
        <v>#N/A</v>
      </c>
      <c r="M41" s="4" t="str">
        <f>IF(A41&lt;('2. Inputs and results'!$B$21+1),'2. Inputs and results'!$B$75*'2. Inputs and results'!$B$73," ")</f>
        <v xml:space="preserve"> </v>
      </c>
      <c r="N41" s="4" t="str">
        <f>IF(A41&lt;('2. Inputs and results'!$B$21+1),M41/((1+$P$2)^A41)," ")</f>
        <v xml:space="preserve"> </v>
      </c>
      <c r="O41" s="4" t="str">
        <f>IF(A41&lt;('2. Inputs and results'!$B$21+1),'2. Inputs and results'!$B$73*'2. Inputs and results'!$B$75+O40," ")</f>
        <v xml:space="preserve"> </v>
      </c>
      <c r="P41" s="4" t="str">
        <f>IF(A41&lt;('2. Inputs and results'!$B$21+1),(G41+I41+H41+J41)/((1+$P$2)^A41)," ")</f>
        <v xml:space="preserve"> </v>
      </c>
      <c r="Q41" s="4" t="str">
        <f>IF(A41&lt;('2. Inputs and results'!$B$21+1),Q40+P41," ")</f>
        <v xml:space="preserve"> </v>
      </c>
      <c r="R41" s="4" t="e">
        <f>IF(A41&lt;('2. Inputs and results'!$B$21+1),R40+G41+I41+H41+J41+T41-$V$6,NA())</f>
        <v>#N/A</v>
      </c>
      <c r="S41" s="4" t="str">
        <f>IF(A41&lt;('2. Inputs and results'!$B$21+1),'2. Inputs and results'!$B$79*(R40)," ")</f>
        <v xml:space="preserve"> </v>
      </c>
      <c r="T41" s="4">
        <f t="shared" si="1"/>
        <v>0</v>
      </c>
      <c r="U41" s="4" t="e">
        <f>IF(A41&lt;('2. Inputs and results'!$B$21+1),U40+(T41+I41+G41+H41+J41-$V$6)/((1+$P$2)^A41),NA())</f>
        <v>#N/A</v>
      </c>
      <c r="V41" s="4" t="str">
        <f>IF(A41&lt;('2. Inputs and results'!$B$21+1),V40+('2. Inputs and results'!$B$75*'2. Inputs and results'!$B$73)," ")</f>
        <v xml:space="preserve"> </v>
      </c>
      <c r="W41" s="4" t="e">
        <f>IF(A41&lt;('2. Inputs and results'!$B$21+1),W40+C41+Y41-$V$6,NA())</f>
        <v>#N/A</v>
      </c>
      <c r="X41" s="4" t="str">
        <f>IF(A41&lt;('2. Inputs and results'!$B$21+1),'2. Inputs and results'!$B$79*W40," ")</f>
        <v xml:space="preserve"> </v>
      </c>
      <c r="Y41" s="4">
        <f t="shared" si="2"/>
        <v>0</v>
      </c>
      <c r="Z41" s="4" t="e">
        <f>IF(A41&lt;('2. Inputs and results'!$B$21+1),Z40+(C41-$V$6+Y41)/((1+$P$2)^A41),NA())</f>
        <v>#N/A</v>
      </c>
      <c r="AA41" s="4" t="str">
        <f>IF(A41&lt;('2. Inputs and results'!$B$21+1),AA40+(G41+I41+H41+T41-$V$6)," ")</f>
        <v xml:space="preserve"> </v>
      </c>
      <c r="AB41" s="20" t="e">
        <f>IF(A41&lt;('2. Inputs and results'!$B$21+1),AA41/L41,NA())</f>
        <v>#N/A</v>
      </c>
      <c r="AC41" s="29" t="str">
        <f>IF(A41&lt;('2. Inputs and results'!$B$21+1),AC40+(C41+Y41-$V$6)," ")</f>
        <v xml:space="preserve"> </v>
      </c>
      <c r="AD41" s="20" t="e">
        <f>IF(A41&lt;('2. Inputs and results'!$B$21+1),AC41/L41,NA())</f>
        <v>#N/A</v>
      </c>
      <c r="AE41" t="str">
        <f>IF(A41&lt;('2. Inputs and results'!$B$21+1),-'2. Inputs and results'!$B$121*A41," ")</f>
        <v xml:space="preserve"> </v>
      </c>
      <c r="AF41" t="e">
        <f>IF(A41&lt;('2. Inputs and results'!$B$21+1),AE41/1000,NA())</f>
        <v>#N/A</v>
      </c>
    </row>
    <row r="42" spans="1:32" x14ac:dyDescent="0.25">
      <c r="A42">
        <f t="shared" si="0"/>
        <v>37</v>
      </c>
      <c r="B42" t="str">
        <f>IF(A42&lt;('2. Inputs and results'!$B$21+1),A42," ")</f>
        <v xml:space="preserve"> </v>
      </c>
      <c r="C42" s="4" t="str">
        <f>IF(A42&lt;('2. Inputs and results'!$B$21+1),'2. Inputs and results'!$B$99+'2. Inputs and results'!$B$101," ")</f>
        <v xml:space="preserve"> </v>
      </c>
      <c r="D42" s="4" t="e">
        <f>IF(A42&lt;('2. Inputs and results'!$B$21+1),D41+C42,NA())</f>
        <v>#N/A</v>
      </c>
      <c r="E42" s="4" t="str">
        <f>IF(B42&lt;('2. Inputs and results'!$B$21+1),C42/((1+$P$2)^A42)," ")</f>
        <v xml:space="preserve"> </v>
      </c>
      <c r="F42" s="4" t="str">
        <f>IF(A42&lt;('2. Inputs and results'!$B$21+1),F41+E42," ")</f>
        <v xml:space="preserve"> </v>
      </c>
      <c r="G42" s="4" t="str">
        <f>IF(A42&lt;('2. Inputs and results'!$B$21+1),G41*(1+'2. Inputs and results'!$B$46)," ")</f>
        <v xml:space="preserve"> </v>
      </c>
      <c r="H42" s="4" t="str">
        <f>IF(A42&lt;('2. Inputs and results'!$B$21+1),H41*(1+'2. Inputs and results'!$B$58)," ")</f>
        <v xml:space="preserve"> </v>
      </c>
      <c r="I42" s="4" t="str">
        <f>IF(A42&lt;('2. Inputs and results'!$B$21+1),I41*(1+'2. Inputs and results'!$B$34)," ")</f>
        <v xml:space="preserve"> </v>
      </c>
      <c r="J42" s="4" t="str">
        <f>IF(A42&lt;('2. Inputs and results'!$B$21+1),J41*(1+'2. Inputs and results'!$B$68)," ")</f>
        <v xml:space="preserve"> </v>
      </c>
      <c r="K42" s="4" t="e">
        <f>IF('Solution 1, (hidden) (2)'!A42&lt;('2. Inputs and results'!$B$21+1),K41+(G42+I42+H42+J42),NA())</f>
        <v>#N/A</v>
      </c>
      <c r="L42" s="4" t="e">
        <f>IF(A42&lt;('2. Inputs and results'!$B$21+1),L41,NA())</f>
        <v>#N/A</v>
      </c>
      <c r="M42" s="4" t="str">
        <f>IF(A42&lt;('2. Inputs and results'!$B$21+1),'2. Inputs and results'!$B$75*'2. Inputs and results'!$B$73," ")</f>
        <v xml:space="preserve"> </v>
      </c>
      <c r="N42" s="4" t="str">
        <f>IF(A42&lt;('2. Inputs and results'!$B$21+1),M42/((1+$P$2)^A42)," ")</f>
        <v xml:space="preserve"> </v>
      </c>
      <c r="O42" s="4" t="str">
        <f>IF(A42&lt;('2. Inputs and results'!$B$21+1),'2. Inputs and results'!$B$73*'2. Inputs and results'!$B$75+O41," ")</f>
        <v xml:space="preserve"> </v>
      </c>
      <c r="P42" s="4" t="str">
        <f>IF(A42&lt;('2. Inputs and results'!$B$21+1),(G42+I42+H42+J42)/((1+$P$2)^A42)," ")</f>
        <v xml:space="preserve"> </v>
      </c>
      <c r="Q42" s="4" t="str">
        <f>IF(A42&lt;('2. Inputs and results'!$B$21+1),Q41+P42," ")</f>
        <v xml:space="preserve"> </v>
      </c>
      <c r="R42" s="4" t="e">
        <f>IF(A42&lt;('2. Inputs and results'!$B$21+1),R41+G42+I42+H42+J42+T42-$V$6,NA())</f>
        <v>#N/A</v>
      </c>
      <c r="S42" s="4" t="str">
        <f>IF(A42&lt;('2. Inputs and results'!$B$21+1),'2. Inputs and results'!$B$79*(R41)," ")</f>
        <v xml:space="preserve"> </v>
      </c>
      <c r="T42" s="4">
        <f t="shared" si="1"/>
        <v>0</v>
      </c>
      <c r="U42" s="4" t="e">
        <f>IF(A42&lt;('2. Inputs and results'!$B$21+1),U41+(T42+I42+G42+H42+J42-$V$6)/((1+$P$2)^A42),NA())</f>
        <v>#N/A</v>
      </c>
      <c r="V42" s="4" t="str">
        <f>IF(A42&lt;('2. Inputs and results'!$B$21+1),V41+('2. Inputs and results'!$B$75*'2. Inputs and results'!$B$73)," ")</f>
        <v xml:space="preserve"> </v>
      </c>
      <c r="W42" s="4" t="e">
        <f>IF(A42&lt;('2. Inputs and results'!$B$21+1),W41+C42+Y42-$V$6,NA())</f>
        <v>#N/A</v>
      </c>
      <c r="X42" s="4" t="str">
        <f>IF(A42&lt;('2. Inputs and results'!$B$21+1),'2. Inputs and results'!$B$79*W41," ")</f>
        <v xml:space="preserve"> </v>
      </c>
      <c r="Y42" s="4">
        <f t="shared" si="2"/>
        <v>0</v>
      </c>
      <c r="Z42" s="4" t="e">
        <f>IF(A42&lt;('2. Inputs and results'!$B$21+1),Z41+(C42-$V$6+Y42)/((1+$P$2)^A42),NA())</f>
        <v>#N/A</v>
      </c>
      <c r="AA42" s="4" t="str">
        <f>IF(A42&lt;('2. Inputs and results'!$B$21+1),AA41+(G42+I42+H42+T42-$V$6)," ")</f>
        <v xml:space="preserve"> </v>
      </c>
      <c r="AB42" s="20" t="e">
        <f>IF(A42&lt;('2. Inputs and results'!$B$21+1),AA42/L42,NA())</f>
        <v>#N/A</v>
      </c>
      <c r="AC42" s="29" t="str">
        <f>IF(A42&lt;('2. Inputs and results'!$B$21+1),AC41+(C42+Y42-$V$6)," ")</f>
        <v xml:space="preserve"> </v>
      </c>
      <c r="AD42" s="20" t="e">
        <f>IF(A42&lt;('2. Inputs and results'!$B$21+1),AC42/L42,NA())</f>
        <v>#N/A</v>
      </c>
      <c r="AE42" t="str">
        <f>IF(A42&lt;('2. Inputs and results'!$B$21+1),-'2. Inputs and results'!$B$121*A42," ")</f>
        <v xml:space="preserve"> </v>
      </c>
      <c r="AF42" t="e">
        <f>IF(A42&lt;('2. Inputs and results'!$B$21+1),AE42/1000,NA())</f>
        <v>#N/A</v>
      </c>
    </row>
    <row r="43" spans="1:32" x14ac:dyDescent="0.25">
      <c r="A43">
        <f t="shared" si="0"/>
        <v>38</v>
      </c>
      <c r="B43" t="str">
        <f>IF(A43&lt;('2. Inputs and results'!$B$21+1),A43," ")</f>
        <v xml:space="preserve"> </v>
      </c>
      <c r="C43" s="4" t="str">
        <f>IF(A43&lt;('2. Inputs and results'!$B$21+1),'2. Inputs and results'!$B$99+'2. Inputs and results'!$B$101," ")</f>
        <v xml:space="preserve"> </v>
      </c>
      <c r="D43" s="4" t="e">
        <f>IF(A43&lt;('2. Inputs and results'!$B$21+1),D42+C43,NA())</f>
        <v>#N/A</v>
      </c>
      <c r="E43" s="4" t="str">
        <f>IF(B43&lt;('2. Inputs and results'!$B$21+1),C43/((1+$P$2)^A43)," ")</f>
        <v xml:space="preserve"> </v>
      </c>
      <c r="F43" s="4" t="str">
        <f>IF(A43&lt;('2. Inputs and results'!$B$21+1),F42+E43," ")</f>
        <v xml:space="preserve"> </v>
      </c>
      <c r="G43" s="4" t="str">
        <f>IF(A43&lt;('2. Inputs and results'!$B$21+1),G42*(1+'2. Inputs and results'!$B$46)," ")</f>
        <v xml:space="preserve"> </v>
      </c>
      <c r="H43" s="4" t="str">
        <f>IF(A43&lt;('2. Inputs and results'!$B$21+1),H42*(1+'2. Inputs and results'!$B$58)," ")</f>
        <v xml:space="preserve"> </v>
      </c>
      <c r="I43" s="4" t="str">
        <f>IF(A43&lt;('2. Inputs and results'!$B$21+1),I42*(1+'2. Inputs and results'!$B$34)," ")</f>
        <v xml:space="preserve"> </v>
      </c>
      <c r="J43" s="4" t="str">
        <f>IF(A43&lt;('2. Inputs and results'!$B$21+1),J42*(1+'2. Inputs and results'!$B$68)," ")</f>
        <v xml:space="preserve"> </v>
      </c>
      <c r="K43" s="4" t="e">
        <f>IF('Solution 1, (hidden) (2)'!A43&lt;('2. Inputs and results'!$B$21+1),K42+(G43+I43+H43+J43),NA())</f>
        <v>#N/A</v>
      </c>
      <c r="L43" s="4" t="e">
        <f>IF(A43&lt;('2. Inputs and results'!$B$21+1),L42,NA())</f>
        <v>#N/A</v>
      </c>
      <c r="M43" s="4" t="str">
        <f>IF(A43&lt;('2. Inputs and results'!$B$21+1),'2. Inputs and results'!$B$75*'2. Inputs and results'!$B$73," ")</f>
        <v xml:space="preserve"> </v>
      </c>
      <c r="N43" s="4" t="str">
        <f>IF(A43&lt;('2. Inputs and results'!$B$21+1),M43/((1+$P$2)^A43)," ")</f>
        <v xml:space="preserve"> </v>
      </c>
      <c r="O43" s="4" t="str">
        <f>IF(A43&lt;('2. Inputs and results'!$B$21+1),'2. Inputs and results'!$B$73*'2. Inputs and results'!$B$75+O42," ")</f>
        <v xml:space="preserve"> </v>
      </c>
      <c r="P43" s="4" t="str">
        <f>IF(A43&lt;('2. Inputs and results'!$B$21+1),(G43+I43+H43+J43)/((1+$P$2)^A43)," ")</f>
        <v xml:space="preserve"> </v>
      </c>
      <c r="Q43" s="4" t="str">
        <f>IF(A43&lt;('2. Inputs and results'!$B$21+1),Q42+P43," ")</f>
        <v xml:space="preserve"> </v>
      </c>
      <c r="R43" s="4" t="e">
        <f>IF(A43&lt;('2. Inputs and results'!$B$21+1),R42+G43+I43+H43+J43+T43-$V$6,NA())</f>
        <v>#N/A</v>
      </c>
      <c r="S43" s="4" t="str">
        <f>IF(A43&lt;('2. Inputs and results'!$B$21+1),'2. Inputs and results'!$B$79*(R42)," ")</f>
        <v xml:space="preserve"> </v>
      </c>
      <c r="T43" s="4">
        <f t="shared" si="1"/>
        <v>0</v>
      </c>
      <c r="U43" s="4" t="e">
        <f>IF(A43&lt;('2. Inputs and results'!$B$21+1),U42+(T43+I43+G43+H43+J43-$V$6)/((1+$P$2)^A43),NA())</f>
        <v>#N/A</v>
      </c>
      <c r="V43" s="4" t="str">
        <f>IF(A43&lt;('2. Inputs and results'!$B$21+1),V42+('2. Inputs and results'!$B$75*'2. Inputs and results'!$B$73)," ")</f>
        <v xml:space="preserve"> </v>
      </c>
      <c r="W43" s="4" t="e">
        <f>IF(A43&lt;('2. Inputs and results'!$B$21+1),W42+C43+Y43-$V$6,NA())</f>
        <v>#N/A</v>
      </c>
      <c r="X43" s="4" t="str">
        <f>IF(A43&lt;('2. Inputs and results'!$B$21+1),'2. Inputs and results'!$B$79*W42," ")</f>
        <v xml:space="preserve"> </v>
      </c>
      <c r="Y43" s="4">
        <f t="shared" si="2"/>
        <v>0</v>
      </c>
      <c r="Z43" s="4" t="e">
        <f>IF(A43&lt;('2. Inputs and results'!$B$21+1),Z42+(C43-$V$6+Y43)/((1+$P$2)^A43),NA())</f>
        <v>#N/A</v>
      </c>
      <c r="AA43" s="4" t="str">
        <f>IF(A43&lt;('2. Inputs and results'!$B$21+1),AA42+(G43+I43+H43+T43-$V$6)," ")</f>
        <v xml:space="preserve"> </v>
      </c>
      <c r="AB43" s="20" t="e">
        <f>IF(A43&lt;('2. Inputs and results'!$B$21+1),AA43/L43,NA())</f>
        <v>#N/A</v>
      </c>
      <c r="AC43" s="29" t="str">
        <f>IF(A43&lt;('2. Inputs and results'!$B$21+1),AC42+(C43+Y43-$V$6)," ")</f>
        <v xml:space="preserve"> </v>
      </c>
      <c r="AD43" s="20" t="e">
        <f>IF(A43&lt;('2. Inputs and results'!$B$21+1),AC43/L43,NA())</f>
        <v>#N/A</v>
      </c>
      <c r="AE43" t="str">
        <f>IF(A43&lt;('2. Inputs and results'!$B$21+1),-'2. Inputs and results'!$B$121*A43," ")</f>
        <v xml:space="preserve"> </v>
      </c>
      <c r="AF43" t="e">
        <f>IF(A43&lt;('2. Inputs and results'!$B$21+1),AE43/1000,NA())</f>
        <v>#N/A</v>
      </c>
    </row>
    <row r="44" spans="1:32" x14ac:dyDescent="0.25">
      <c r="A44">
        <f t="shared" si="0"/>
        <v>39</v>
      </c>
      <c r="B44" t="str">
        <f>IF(A44&lt;('2. Inputs and results'!$B$21+1),A44," ")</f>
        <v xml:space="preserve"> </v>
      </c>
      <c r="C44" s="4" t="str">
        <f>IF(A44&lt;('2. Inputs and results'!$B$21+1),'2. Inputs and results'!$B$99+'2. Inputs and results'!$B$101," ")</f>
        <v xml:space="preserve"> </v>
      </c>
      <c r="D44" s="4" t="e">
        <f>IF(A44&lt;('2. Inputs and results'!$B$21+1),D43+C44,NA())</f>
        <v>#N/A</v>
      </c>
      <c r="E44" s="4" t="str">
        <f>IF(B44&lt;('2. Inputs and results'!$B$21+1),C44/((1+$P$2)^A44)," ")</f>
        <v xml:space="preserve"> </v>
      </c>
      <c r="F44" s="4" t="str">
        <f>IF(A44&lt;('2. Inputs and results'!$B$21+1),F43+E44," ")</f>
        <v xml:space="preserve"> </v>
      </c>
      <c r="G44" s="4" t="str">
        <f>IF(A44&lt;('2. Inputs and results'!$B$21+1),G43*(1+'2. Inputs and results'!$B$46)," ")</f>
        <v xml:space="preserve"> </v>
      </c>
      <c r="H44" s="4" t="str">
        <f>IF(A44&lt;('2. Inputs and results'!$B$21+1),H43*(1+'2. Inputs and results'!$B$58)," ")</f>
        <v xml:space="preserve"> </v>
      </c>
      <c r="I44" s="4" t="str">
        <f>IF(A44&lt;('2. Inputs and results'!$B$21+1),I43*(1+'2. Inputs and results'!$B$34)," ")</f>
        <v xml:space="preserve"> </v>
      </c>
      <c r="J44" s="4" t="str">
        <f>IF(A44&lt;('2. Inputs and results'!$B$21+1),J43*(1+'2. Inputs and results'!$B$68)," ")</f>
        <v xml:space="preserve"> </v>
      </c>
      <c r="K44" s="4" t="e">
        <f>IF('Solution 1, (hidden) (2)'!A44&lt;('2. Inputs and results'!$B$21+1),K43+(G44+I44+H44+J44),NA())</f>
        <v>#N/A</v>
      </c>
      <c r="L44" s="4" t="e">
        <f>IF(A44&lt;('2. Inputs and results'!$B$21+1),L43,NA())</f>
        <v>#N/A</v>
      </c>
      <c r="M44" s="4" t="str">
        <f>IF(A44&lt;('2. Inputs and results'!$B$21+1),'2. Inputs and results'!$B$75*'2. Inputs and results'!$B$73," ")</f>
        <v xml:space="preserve"> </v>
      </c>
      <c r="N44" s="4" t="str">
        <f>IF(A44&lt;('2. Inputs and results'!$B$21+1),M44/((1+$P$2)^A44)," ")</f>
        <v xml:space="preserve"> </v>
      </c>
      <c r="O44" s="4" t="str">
        <f>IF(A44&lt;('2. Inputs and results'!$B$21+1),'2. Inputs and results'!$B$73*'2. Inputs and results'!$B$75+O43," ")</f>
        <v xml:space="preserve"> </v>
      </c>
      <c r="P44" s="4" t="str">
        <f>IF(A44&lt;('2. Inputs and results'!$B$21+1),(G44+I44+H44+J44)/((1+$P$2)^A44)," ")</f>
        <v xml:space="preserve"> </v>
      </c>
      <c r="Q44" s="4" t="str">
        <f>IF(A44&lt;('2. Inputs and results'!$B$21+1),Q43+P44," ")</f>
        <v xml:space="preserve"> </v>
      </c>
      <c r="R44" s="4" t="e">
        <f>IF(A44&lt;('2. Inputs and results'!$B$21+1),R43+G44+I44+H44+J44+T44-$V$6,NA())</f>
        <v>#N/A</v>
      </c>
      <c r="S44" s="4" t="str">
        <f>IF(A44&lt;('2. Inputs and results'!$B$21+1),'2. Inputs and results'!$B$79*(R43)," ")</f>
        <v xml:space="preserve"> </v>
      </c>
      <c r="T44" s="4">
        <f t="shared" si="1"/>
        <v>0</v>
      </c>
      <c r="U44" s="4" t="e">
        <f>IF(A44&lt;('2. Inputs and results'!$B$21+1),U43+(T44+I44+G44+H44+J44-$V$6)/((1+$P$2)^A44),NA())</f>
        <v>#N/A</v>
      </c>
      <c r="V44" s="4" t="str">
        <f>IF(A44&lt;('2. Inputs and results'!$B$21+1),V43+('2. Inputs and results'!$B$75*'2. Inputs and results'!$B$73)," ")</f>
        <v xml:space="preserve"> </v>
      </c>
      <c r="W44" s="4" t="e">
        <f>IF(A44&lt;('2. Inputs and results'!$B$21+1),W43+C44+Y44-$V$6,NA())</f>
        <v>#N/A</v>
      </c>
      <c r="X44" s="4" t="str">
        <f>IF(A44&lt;('2. Inputs and results'!$B$21+1),'2. Inputs and results'!$B$79*W43," ")</f>
        <v xml:space="preserve"> </v>
      </c>
      <c r="Y44" s="4">
        <f t="shared" si="2"/>
        <v>0</v>
      </c>
      <c r="Z44" s="4" t="e">
        <f>IF(A44&lt;('2. Inputs and results'!$B$21+1),Z43+(C44-$V$6+Y44)/((1+$P$2)^A44),NA())</f>
        <v>#N/A</v>
      </c>
      <c r="AA44" s="4" t="str">
        <f>IF(A44&lt;('2. Inputs and results'!$B$21+1),AA43+(G44+I44+H44+T44-$V$6)," ")</f>
        <v xml:space="preserve"> </v>
      </c>
      <c r="AB44" s="20" t="e">
        <f>IF(A44&lt;('2. Inputs and results'!$B$21+1),AA44/L44,NA())</f>
        <v>#N/A</v>
      </c>
      <c r="AC44" s="29" t="str">
        <f>IF(A44&lt;('2. Inputs and results'!$B$21+1),AC43+(C44+Y44-$V$6)," ")</f>
        <v xml:space="preserve"> </v>
      </c>
      <c r="AD44" s="20" t="e">
        <f>IF(A44&lt;('2. Inputs and results'!$B$21+1),AC44/L44,NA())</f>
        <v>#N/A</v>
      </c>
      <c r="AE44" t="str">
        <f>IF(A44&lt;('2. Inputs and results'!$B$21+1),-'2. Inputs and results'!$B$121*A44," ")</f>
        <v xml:space="preserve"> </v>
      </c>
      <c r="AF44" t="e">
        <f>IF(A44&lt;('2. Inputs and results'!$B$21+1),AE44/1000,NA())</f>
        <v>#N/A</v>
      </c>
    </row>
    <row r="45" spans="1:32" x14ac:dyDescent="0.25">
      <c r="A45">
        <f t="shared" si="0"/>
        <v>40</v>
      </c>
      <c r="B45" t="str">
        <f>IF(A45&lt;('2. Inputs and results'!$B$21+1),A45," ")</f>
        <v xml:space="preserve"> </v>
      </c>
      <c r="C45" s="4" t="str">
        <f>IF(A45&lt;('2. Inputs and results'!$B$21+1),'2. Inputs and results'!$B$99+'2. Inputs and results'!$B$101," ")</f>
        <v xml:space="preserve"> </v>
      </c>
      <c r="D45" s="4" t="e">
        <f>IF(A45&lt;('2. Inputs and results'!$B$21+1),D44+C45,NA())</f>
        <v>#N/A</v>
      </c>
      <c r="E45" s="4" t="str">
        <f>IF(B45&lt;('2. Inputs and results'!$B$21+1),C45/((1+$P$2)^A45)," ")</f>
        <v xml:space="preserve"> </v>
      </c>
      <c r="F45" s="4" t="str">
        <f>IF(A45&lt;('2. Inputs and results'!$B$21+1),F44+E45," ")</f>
        <v xml:space="preserve"> </v>
      </c>
      <c r="G45" s="4" t="str">
        <f>IF(A45&lt;('2. Inputs and results'!$B$21+1),G44*(1+'2. Inputs and results'!$B$46)," ")</f>
        <v xml:space="preserve"> </v>
      </c>
      <c r="H45" s="4" t="str">
        <f>IF(A45&lt;('2. Inputs and results'!$B$21+1),H44*(1+'2. Inputs and results'!$B$58)," ")</f>
        <v xml:space="preserve"> </v>
      </c>
      <c r="I45" s="4" t="str">
        <f>IF(A45&lt;('2. Inputs and results'!$B$21+1),I44*(1+'2. Inputs and results'!$B$34)," ")</f>
        <v xml:space="preserve"> </v>
      </c>
      <c r="J45" s="4" t="str">
        <f>IF(A45&lt;('2. Inputs and results'!$B$21+1),J44*(1+'2. Inputs and results'!$B$68)," ")</f>
        <v xml:space="preserve"> </v>
      </c>
      <c r="K45" s="4" t="e">
        <f>IF('Solution 1, (hidden) (2)'!A45&lt;('2. Inputs and results'!$B$21+1),K44+(G45+I45+H45+J45),NA())</f>
        <v>#N/A</v>
      </c>
      <c r="L45" s="4" t="e">
        <f>IF(A45&lt;('2. Inputs and results'!$B$21+1),L44,NA())</f>
        <v>#N/A</v>
      </c>
      <c r="M45" s="4" t="str">
        <f>IF(A45&lt;('2. Inputs and results'!$B$21+1),'2. Inputs and results'!$B$75*'2. Inputs and results'!$B$73," ")</f>
        <v xml:space="preserve"> </v>
      </c>
      <c r="N45" s="4" t="str">
        <f>IF(A45&lt;('2. Inputs and results'!$B$21+1),M45/((1+$P$2)^A45)," ")</f>
        <v xml:space="preserve"> </v>
      </c>
      <c r="O45" s="4" t="str">
        <f>IF(A45&lt;('2. Inputs and results'!$B$21+1),'2. Inputs and results'!$B$73*'2. Inputs and results'!$B$75+O44," ")</f>
        <v xml:space="preserve"> </v>
      </c>
      <c r="P45" s="4" t="str">
        <f>IF(A45&lt;('2. Inputs and results'!$B$21+1),(G45+I45+H45+J45)/((1+$P$2)^A45)," ")</f>
        <v xml:space="preserve"> </v>
      </c>
      <c r="Q45" s="4" t="str">
        <f>IF(A45&lt;('2. Inputs and results'!$B$21+1),Q44+P45," ")</f>
        <v xml:space="preserve"> </v>
      </c>
      <c r="R45" s="4" t="e">
        <f>IF(A45&lt;('2. Inputs and results'!$B$21+1),R44+G45+I45+H45+J45+T45-$V$6,NA())</f>
        <v>#N/A</v>
      </c>
      <c r="S45" s="4" t="str">
        <f>IF(A45&lt;('2. Inputs and results'!$B$21+1),'2. Inputs and results'!$B$79*(R44)," ")</f>
        <v xml:space="preserve"> </v>
      </c>
      <c r="T45" s="4">
        <f t="shared" si="1"/>
        <v>0</v>
      </c>
      <c r="U45" s="4" t="e">
        <f>IF(A45&lt;('2. Inputs and results'!$B$21+1),U44+(T45+I45+G45+H45+J45-$V$6)/((1+$P$2)^A45),NA())</f>
        <v>#N/A</v>
      </c>
      <c r="V45" s="4" t="str">
        <f>IF(A45&lt;('2. Inputs and results'!$B$21+1),V44+('2. Inputs and results'!$B$75*'2. Inputs and results'!$B$73)," ")</f>
        <v xml:space="preserve"> </v>
      </c>
      <c r="W45" s="4" t="e">
        <f>IF(A45&lt;('2. Inputs and results'!$B$21+1),W44+C45+Y45-$V$6,NA())</f>
        <v>#N/A</v>
      </c>
      <c r="X45" s="4" t="str">
        <f>IF(A45&lt;('2. Inputs and results'!$B$21+1),'2. Inputs and results'!$B$79*W44," ")</f>
        <v xml:space="preserve"> </v>
      </c>
      <c r="Y45" s="4">
        <f t="shared" si="2"/>
        <v>0</v>
      </c>
      <c r="Z45" s="4" t="e">
        <f>IF(A45&lt;('2. Inputs and results'!$B$21+1),Z44+(C45-$V$6+Y45)/((1+$P$2)^A45),NA())</f>
        <v>#N/A</v>
      </c>
      <c r="AA45" s="4" t="str">
        <f>IF(A45&lt;('2. Inputs and results'!$B$21+1),AA44+(G45+I45+H45+T45-$V$6)," ")</f>
        <v xml:space="preserve"> </v>
      </c>
      <c r="AB45" s="20" t="e">
        <f>IF(A45&lt;('2. Inputs and results'!$B$21+1),AA45/L45,NA())</f>
        <v>#N/A</v>
      </c>
      <c r="AC45" s="29" t="str">
        <f>IF(A45&lt;('2. Inputs and results'!$B$21+1),AC44+(C45+Y45-$V$6)," ")</f>
        <v xml:space="preserve"> </v>
      </c>
      <c r="AD45" s="20" t="e">
        <f>IF(A45&lt;('2. Inputs and results'!$B$21+1),AC45/L45,NA())</f>
        <v>#N/A</v>
      </c>
      <c r="AE45" t="str">
        <f>IF(A45&lt;('2. Inputs and results'!$B$21+1),-'2. Inputs and results'!$B$121*A45," ")</f>
        <v xml:space="preserve"> </v>
      </c>
      <c r="AF45" t="e">
        <f>IF(A45&lt;('2. Inputs and results'!$B$21+1),AE45/1000,NA())</f>
        <v>#N/A</v>
      </c>
    </row>
    <row r="46" spans="1:32" x14ac:dyDescent="0.25">
      <c r="A46">
        <f t="shared" si="0"/>
        <v>41</v>
      </c>
      <c r="B46" t="str">
        <f>IF(A46&lt;('2. Inputs and results'!$B$21+1),A46," ")</f>
        <v xml:space="preserve"> </v>
      </c>
      <c r="C46" s="4" t="str">
        <f>IF(A46&lt;('2. Inputs and results'!$B$21+1),'2. Inputs and results'!$B$99+'2. Inputs and results'!$B$101," ")</f>
        <v xml:space="preserve"> </v>
      </c>
      <c r="D46" s="4" t="e">
        <f>IF(A46&lt;('2. Inputs and results'!$B$21+1),D45+C46,NA())</f>
        <v>#N/A</v>
      </c>
      <c r="E46" s="4" t="str">
        <f>IF(B46&lt;('2. Inputs and results'!$B$21+1),C46/((1+$P$2)^A46)," ")</f>
        <v xml:space="preserve"> </v>
      </c>
      <c r="F46" s="4" t="str">
        <f>IF(A46&lt;('2. Inputs and results'!$B$21+1),F45+E46," ")</f>
        <v xml:space="preserve"> </v>
      </c>
      <c r="G46" s="4" t="str">
        <f>IF(A46&lt;('2. Inputs and results'!$B$21+1),G45*(1+'2. Inputs and results'!$B$46)," ")</f>
        <v xml:space="preserve"> </v>
      </c>
      <c r="H46" s="4" t="str">
        <f>IF(A46&lt;('2. Inputs and results'!$B$21+1),H45*(1+'2. Inputs and results'!$B$58)," ")</f>
        <v xml:space="preserve"> </v>
      </c>
      <c r="I46" s="4" t="str">
        <f>IF(A46&lt;('2. Inputs and results'!$B$21+1),I45*(1+'2. Inputs and results'!$B$34)," ")</f>
        <v xml:space="preserve"> </v>
      </c>
      <c r="J46" s="4" t="str">
        <f>IF(A46&lt;('2. Inputs and results'!$B$21+1),J45*(1+'2. Inputs and results'!$B$68)," ")</f>
        <v xml:space="preserve"> </v>
      </c>
      <c r="K46" s="4" t="e">
        <f>IF('Solution 1, (hidden) (2)'!A46&lt;('2. Inputs and results'!$B$21+1),K45+(G46+I46+H46+J46),NA())</f>
        <v>#N/A</v>
      </c>
      <c r="L46" s="4" t="e">
        <f>IF(A46&lt;('2. Inputs and results'!$B$21+1),L45,NA())</f>
        <v>#N/A</v>
      </c>
      <c r="M46" s="4" t="str">
        <f>IF(A46&lt;('2. Inputs and results'!$B$21+1),'2. Inputs and results'!$B$75*'2. Inputs and results'!$B$73," ")</f>
        <v xml:space="preserve"> </v>
      </c>
      <c r="N46" s="4" t="str">
        <f>IF(A46&lt;('2. Inputs and results'!$B$21+1),M46/((1+$P$2)^A46)," ")</f>
        <v xml:space="preserve"> </v>
      </c>
      <c r="O46" s="4" t="str">
        <f>IF(A46&lt;('2. Inputs and results'!$B$21+1),'2. Inputs and results'!$B$73*'2. Inputs and results'!$B$75+O45," ")</f>
        <v xml:space="preserve"> </v>
      </c>
      <c r="P46" s="4" t="str">
        <f>IF(A46&lt;('2. Inputs and results'!$B$21+1),(G46+I46+H46+J46)/((1+$P$2)^A46)," ")</f>
        <v xml:space="preserve"> </v>
      </c>
      <c r="Q46" s="4" t="str">
        <f>IF(A46&lt;('2. Inputs and results'!$B$21+1),Q45+P46," ")</f>
        <v xml:space="preserve"> </v>
      </c>
      <c r="R46" s="4" t="e">
        <f>IF(A46&lt;('2. Inputs and results'!$B$21+1),R45+G46+I46+H46+J46+T46-$V$6,NA())</f>
        <v>#N/A</v>
      </c>
      <c r="S46" s="4" t="str">
        <f>IF(A46&lt;('2. Inputs and results'!$B$21+1),'2. Inputs and results'!$B$79*(R45)," ")</f>
        <v xml:space="preserve"> </v>
      </c>
      <c r="T46" s="4">
        <f t="shared" si="1"/>
        <v>0</v>
      </c>
      <c r="U46" s="4" t="e">
        <f>IF(A46&lt;('2. Inputs and results'!$B$21+1),U45+(T46+I46+G46+H46+J46-$V$6)/((1+$P$2)^A46),NA())</f>
        <v>#N/A</v>
      </c>
      <c r="V46" s="4" t="str">
        <f>IF(A46&lt;('2. Inputs and results'!$B$21+1),V45+('2. Inputs and results'!$B$75*'2. Inputs and results'!$B$73)," ")</f>
        <v xml:space="preserve"> </v>
      </c>
      <c r="W46" s="4" t="e">
        <f>IF(A46&lt;('2. Inputs and results'!$B$21+1),W45+C46+Y46-$V$6,NA())</f>
        <v>#N/A</v>
      </c>
      <c r="X46" s="4" t="str">
        <f>IF(A46&lt;('2. Inputs and results'!$B$21+1),'2. Inputs and results'!$B$79*W45," ")</f>
        <v xml:space="preserve"> </v>
      </c>
      <c r="Y46" s="4">
        <f t="shared" si="2"/>
        <v>0</v>
      </c>
      <c r="Z46" s="4" t="e">
        <f>IF(A46&lt;('2. Inputs and results'!$B$21+1),Z45+(C46-$V$6+Y46)/((1+$P$2)^A46),NA())</f>
        <v>#N/A</v>
      </c>
      <c r="AA46" s="4" t="str">
        <f>IF(A46&lt;('2. Inputs and results'!$B$21+1),AA45+(G46+I46+H46+T46-$V$6)," ")</f>
        <v xml:space="preserve"> </v>
      </c>
      <c r="AB46" s="20" t="e">
        <f>IF(A46&lt;('2. Inputs and results'!$B$21+1),AA46/L46,NA())</f>
        <v>#N/A</v>
      </c>
      <c r="AC46" s="29" t="str">
        <f>IF(A46&lt;('2. Inputs and results'!$B$21+1),AC45+(C46+Y46-$V$6)," ")</f>
        <v xml:space="preserve"> </v>
      </c>
      <c r="AD46" s="20" t="e">
        <f>IF(A46&lt;('2. Inputs and results'!$B$21+1),AC46/L46,NA())</f>
        <v>#N/A</v>
      </c>
      <c r="AE46" t="str">
        <f>IF(A46&lt;('2. Inputs and results'!$B$21+1),-'2. Inputs and results'!$B$121*A46," ")</f>
        <v xml:space="preserve"> </v>
      </c>
      <c r="AF46" t="e">
        <f>IF(A46&lt;('2. Inputs and results'!$B$21+1),AE46/1000,NA())</f>
        <v>#N/A</v>
      </c>
    </row>
    <row r="47" spans="1:32" x14ac:dyDescent="0.25">
      <c r="A47">
        <f t="shared" si="0"/>
        <v>42</v>
      </c>
      <c r="B47" t="str">
        <f>IF(A47&lt;('2. Inputs and results'!$B$21+1),A47," ")</f>
        <v xml:space="preserve"> </v>
      </c>
      <c r="C47" s="4" t="str">
        <f>IF(A47&lt;('2. Inputs and results'!$B$21+1),'2. Inputs and results'!$B$99+'2. Inputs and results'!$B$101," ")</f>
        <v xml:space="preserve"> </v>
      </c>
      <c r="D47" s="4" t="e">
        <f>IF(A47&lt;('2. Inputs and results'!$B$21+1),D46+C47,NA())</f>
        <v>#N/A</v>
      </c>
      <c r="E47" s="4" t="str">
        <f>IF(B47&lt;('2. Inputs and results'!$B$21+1),C47/((1+$P$2)^A47)," ")</f>
        <v xml:space="preserve"> </v>
      </c>
      <c r="F47" s="4" t="str">
        <f>IF(A47&lt;('2. Inputs and results'!$B$21+1),F46+E47," ")</f>
        <v xml:space="preserve"> </v>
      </c>
      <c r="G47" s="4" t="str">
        <f>IF(A47&lt;('2. Inputs and results'!$B$21+1),G46*(1+'2. Inputs and results'!$B$46)," ")</f>
        <v xml:space="preserve"> </v>
      </c>
      <c r="H47" s="4" t="str">
        <f>IF(A47&lt;('2. Inputs and results'!$B$21+1),H46*(1+'2. Inputs and results'!$B$58)," ")</f>
        <v xml:space="preserve"> </v>
      </c>
      <c r="I47" s="4" t="str">
        <f>IF(A47&lt;('2. Inputs and results'!$B$21+1),I46*(1+'2. Inputs and results'!$B$34)," ")</f>
        <v xml:space="preserve"> </v>
      </c>
      <c r="J47" s="4" t="str">
        <f>IF(A47&lt;('2. Inputs and results'!$B$21+1),J46*(1+'2. Inputs and results'!$B$68)," ")</f>
        <v xml:space="preserve"> </v>
      </c>
      <c r="K47" s="4" t="e">
        <f>IF('Solution 1, (hidden) (2)'!A47&lt;('2. Inputs and results'!$B$21+1),K46+(G47+I47+H47+J47),NA())</f>
        <v>#N/A</v>
      </c>
      <c r="L47" s="4" t="e">
        <f>IF(A47&lt;('2. Inputs and results'!$B$21+1),L46,NA())</f>
        <v>#N/A</v>
      </c>
      <c r="M47" s="4" t="str">
        <f>IF(A47&lt;('2. Inputs and results'!$B$21+1),'2. Inputs and results'!$B$75*'2. Inputs and results'!$B$73," ")</f>
        <v xml:space="preserve"> </v>
      </c>
      <c r="N47" s="4" t="str">
        <f>IF(A47&lt;('2. Inputs and results'!$B$21+1),M47/((1+$P$2)^A47)," ")</f>
        <v xml:space="preserve"> </v>
      </c>
      <c r="O47" s="4" t="str">
        <f>IF(A47&lt;('2. Inputs and results'!$B$21+1),'2. Inputs and results'!$B$73*'2. Inputs and results'!$B$75+O46," ")</f>
        <v xml:space="preserve"> </v>
      </c>
      <c r="P47" s="4" t="str">
        <f>IF(A47&lt;('2. Inputs and results'!$B$21+1),(G47+I47+H47+J47)/((1+$P$2)^A47)," ")</f>
        <v xml:space="preserve"> </v>
      </c>
      <c r="Q47" s="4" t="str">
        <f>IF(A47&lt;('2. Inputs and results'!$B$21+1),Q46+P47," ")</f>
        <v xml:space="preserve"> </v>
      </c>
      <c r="R47" s="4" t="e">
        <f>IF(A47&lt;('2. Inputs and results'!$B$21+1),R46+G47+I47+H47+J47+T47-$V$6,NA())</f>
        <v>#N/A</v>
      </c>
      <c r="S47" s="4" t="str">
        <f>IF(A47&lt;('2. Inputs and results'!$B$21+1),'2. Inputs and results'!$B$79*(R46)," ")</f>
        <v xml:space="preserve"> </v>
      </c>
      <c r="T47" s="4">
        <f t="shared" si="1"/>
        <v>0</v>
      </c>
      <c r="U47" s="4" t="e">
        <f>IF(A47&lt;('2. Inputs and results'!$B$21+1),U46+(T47+I47+G47+H47+J47-$V$6)/((1+$P$2)^A47),NA())</f>
        <v>#N/A</v>
      </c>
      <c r="V47" s="4" t="str">
        <f>IF(A47&lt;('2. Inputs and results'!$B$21+1),V46+('2. Inputs and results'!$B$75*'2. Inputs and results'!$B$73)," ")</f>
        <v xml:space="preserve"> </v>
      </c>
      <c r="W47" s="4" t="e">
        <f>IF(A47&lt;('2. Inputs and results'!$B$21+1),W46+C47+Y47-$V$6,NA())</f>
        <v>#N/A</v>
      </c>
      <c r="X47" s="4" t="str">
        <f>IF(A47&lt;('2. Inputs and results'!$B$21+1),'2. Inputs and results'!$B$79*W46," ")</f>
        <v xml:space="preserve"> </v>
      </c>
      <c r="Y47" s="4">
        <f t="shared" si="2"/>
        <v>0</v>
      </c>
      <c r="Z47" s="4" t="e">
        <f>IF(A47&lt;('2. Inputs and results'!$B$21+1),Z46+(C47-$V$6+Y47)/((1+$P$2)^A47),NA())</f>
        <v>#N/A</v>
      </c>
      <c r="AA47" s="4" t="str">
        <f>IF(A47&lt;('2. Inputs and results'!$B$21+1),AA46+(G47+I47+H47+T47-$V$6)," ")</f>
        <v xml:space="preserve"> </v>
      </c>
      <c r="AB47" s="20" t="e">
        <f>IF(A47&lt;('2. Inputs and results'!$B$21+1),AA47/L47,NA())</f>
        <v>#N/A</v>
      </c>
      <c r="AC47" s="29" t="str">
        <f>IF(A47&lt;('2. Inputs and results'!$B$21+1),AC46+(C47+Y47-$V$6)," ")</f>
        <v xml:space="preserve"> </v>
      </c>
      <c r="AD47" s="20" t="e">
        <f>IF(A47&lt;('2. Inputs and results'!$B$21+1),AC47/L47,NA())</f>
        <v>#N/A</v>
      </c>
      <c r="AE47" t="str">
        <f>IF(A47&lt;('2. Inputs and results'!$B$21+1),-'2. Inputs and results'!$B$121*A47," ")</f>
        <v xml:space="preserve"> </v>
      </c>
      <c r="AF47" t="e">
        <f>IF(A47&lt;('2. Inputs and results'!$B$21+1),AE47/1000,NA())</f>
        <v>#N/A</v>
      </c>
    </row>
    <row r="48" spans="1:32" x14ac:dyDescent="0.25">
      <c r="A48">
        <f t="shared" si="0"/>
        <v>43</v>
      </c>
      <c r="B48" t="str">
        <f>IF(A48&lt;('2. Inputs and results'!$B$21+1),A48," ")</f>
        <v xml:space="preserve"> </v>
      </c>
      <c r="C48" s="4" t="str">
        <f>IF(A48&lt;('2. Inputs and results'!$B$21+1),'2. Inputs and results'!$B$99+'2. Inputs and results'!$B$101," ")</f>
        <v xml:space="preserve"> </v>
      </c>
      <c r="D48" s="4" t="e">
        <f>IF(A48&lt;('2. Inputs and results'!$B$21+1),D47+C48,NA())</f>
        <v>#N/A</v>
      </c>
      <c r="E48" s="4" t="str">
        <f>IF(B48&lt;('2. Inputs and results'!$B$21+1),C48/((1+$P$2)^A48)," ")</f>
        <v xml:space="preserve"> </v>
      </c>
      <c r="F48" s="4" t="str">
        <f>IF(A48&lt;('2. Inputs and results'!$B$21+1),F47+E48," ")</f>
        <v xml:space="preserve"> </v>
      </c>
      <c r="G48" s="4" t="str">
        <f>IF(A48&lt;('2. Inputs and results'!$B$21+1),G47*(1+'2. Inputs and results'!$B$46)," ")</f>
        <v xml:space="preserve"> </v>
      </c>
      <c r="H48" s="4" t="str">
        <f>IF(A48&lt;('2. Inputs and results'!$B$21+1),H47*(1+'2. Inputs and results'!$B$58)," ")</f>
        <v xml:space="preserve"> </v>
      </c>
      <c r="I48" s="4" t="str">
        <f>IF(A48&lt;('2. Inputs and results'!$B$21+1),I47*(1+'2. Inputs and results'!$B$34)," ")</f>
        <v xml:space="preserve"> </v>
      </c>
      <c r="J48" s="4" t="str">
        <f>IF(A48&lt;('2. Inputs and results'!$B$21+1),J47*(1+'2. Inputs and results'!$B$68)," ")</f>
        <v xml:space="preserve"> </v>
      </c>
      <c r="K48" s="4" t="e">
        <f>IF('Solution 1, (hidden) (2)'!A48&lt;('2. Inputs and results'!$B$21+1),K47+(G48+I48+H48+J48),NA())</f>
        <v>#N/A</v>
      </c>
      <c r="L48" s="4" t="e">
        <f>IF(A48&lt;('2. Inputs and results'!$B$21+1),L47,NA())</f>
        <v>#N/A</v>
      </c>
      <c r="M48" s="4" t="str">
        <f>IF(A48&lt;('2. Inputs and results'!$B$21+1),'2. Inputs and results'!$B$75*'2. Inputs and results'!$B$73," ")</f>
        <v xml:space="preserve"> </v>
      </c>
      <c r="N48" s="4" t="str">
        <f>IF(A48&lt;('2. Inputs and results'!$B$21+1),M48/((1+$P$2)^A48)," ")</f>
        <v xml:space="preserve"> </v>
      </c>
      <c r="O48" s="4" t="str">
        <f>IF(A48&lt;('2. Inputs and results'!$B$21+1),'2. Inputs and results'!$B$73*'2. Inputs and results'!$B$75+O47," ")</f>
        <v xml:space="preserve"> </v>
      </c>
      <c r="P48" s="4" t="str">
        <f>IF(A48&lt;('2. Inputs and results'!$B$21+1),(G48+I48+H48+J48)/((1+$P$2)^A48)," ")</f>
        <v xml:space="preserve"> </v>
      </c>
      <c r="Q48" s="4" t="str">
        <f>IF(A48&lt;('2. Inputs and results'!$B$21+1),Q47+P48," ")</f>
        <v xml:space="preserve"> </v>
      </c>
      <c r="R48" s="4" t="e">
        <f>IF(A48&lt;('2. Inputs and results'!$B$21+1),R47+G48+I48+H48+J48+T48-$V$6,NA())</f>
        <v>#N/A</v>
      </c>
      <c r="S48" s="4" t="str">
        <f>IF(A48&lt;('2. Inputs and results'!$B$21+1),'2. Inputs and results'!$B$79*(R47)," ")</f>
        <v xml:space="preserve"> </v>
      </c>
      <c r="T48" s="4">
        <f t="shared" si="1"/>
        <v>0</v>
      </c>
      <c r="U48" s="4" t="e">
        <f>IF(A48&lt;('2. Inputs and results'!$B$21+1),U47+(T48+I48+G48+H48+J48-$V$6)/((1+$P$2)^A48),NA())</f>
        <v>#N/A</v>
      </c>
      <c r="V48" s="4" t="str">
        <f>IF(A48&lt;('2. Inputs and results'!$B$21+1),V47+('2. Inputs and results'!$B$75*'2. Inputs and results'!$B$73)," ")</f>
        <v xml:space="preserve"> </v>
      </c>
      <c r="W48" s="4" t="e">
        <f>IF(A48&lt;('2. Inputs and results'!$B$21+1),W47+C48+Y48-$V$6,NA())</f>
        <v>#N/A</v>
      </c>
      <c r="X48" s="4" t="str">
        <f>IF(A48&lt;('2. Inputs and results'!$B$21+1),'2. Inputs and results'!$B$79*W47," ")</f>
        <v xml:space="preserve"> </v>
      </c>
      <c r="Y48" s="4">
        <f t="shared" si="2"/>
        <v>0</v>
      </c>
      <c r="Z48" s="4" t="e">
        <f>IF(A48&lt;('2. Inputs and results'!$B$21+1),Z47+(C48-$V$6+Y48)/((1+$P$2)^A48),NA())</f>
        <v>#N/A</v>
      </c>
      <c r="AA48" s="4" t="str">
        <f>IF(A48&lt;('2. Inputs and results'!$B$21+1),AA47+(G48+I48+H48+T48-$V$6)," ")</f>
        <v xml:space="preserve"> </v>
      </c>
      <c r="AB48" s="20" t="e">
        <f>IF(A48&lt;('2. Inputs and results'!$B$21+1),AA48/L48,NA())</f>
        <v>#N/A</v>
      </c>
      <c r="AC48" s="29" t="str">
        <f>IF(A48&lt;('2. Inputs and results'!$B$21+1),AC47+(C48+Y48-$V$6)," ")</f>
        <v xml:space="preserve"> </v>
      </c>
      <c r="AD48" s="20" t="e">
        <f>IF(A48&lt;('2. Inputs and results'!$B$21+1),AC48/L48,NA())</f>
        <v>#N/A</v>
      </c>
      <c r="AE48" t="str">
        <f>IF(A48&lt;('2. Inputs and results'!$B$21+1),-'2. Inputs and results'!$B$121*A48," ")</f>
        <v xml:space="preserve"> </v>
      </c>
      <c r="AF48" t="e">
        <f>IF(A48&lt;('2. Inputs and results'!$B$21+1),AE48/1000,NA())</f>
        <v>#N/A</v>
      </c>
    </row>
    <row r="49" spans="1:32" x14ac:dyDescent="0.25">
      <c r="A49">
        <f t="shared" si="0"/>
        <v>44</v>
      </c>
      <c r="B49" t="str">
        <f>IF(A49&lt;('2. Inputs and results'!$B$21+1),A49," ")</f>
        <v xml:space="preserve"> </v>
      </c>
      <c r="C49" s="4" t="str">
        <f>IF(A49&lt;('2. Inputs and results'!$B$21+1),'2. Inputs and results'!$B$99+'2. Inputs and results'!$B$101," ")</f>
        <v xml:space="preserve"> </v>
      </c>
      <c r="D49" s="4" t="e">
        <f>IF(A49&lt;('2. Inputs and results'!$B$21+1),D48+C49,NA())</f>
        <v>#N/A</v>
      </c>
      <c r="E49" s="4" t="str">
        <f>IF(B49&lt;('2. Inputs and results'!$B$21+1),C49/((1+$P$2)^A49)," ")</f>
        <v xml:space="preserve"> </v>
      </c>
      <c r="F49" s="4" t="str">
        <f>IF(A49&lt;('2. Inputs and results'!$B$21+1),F48+E49," ")</f>
        <v xml:space="preserve"> </v>
      </c>
      <c r="G49" s="4" t="str">
        <f>IF(A49&lt;('2. Inputs and results'!$B$21+1),G48*(1+'2. Inputs and results'!$B$46)," ")</f>
        <v xml:space="preserve"> </v>
      </c>
      <c r="H49" s="4" t="str">
        <f>IF(A49&lt;('2. Inputs and results'!$B$21+1),H48*(1+'2. Inputs and results'!$B$58)," ")</f>
        <v xml:space="preserve"> </v>
      </c>
      <c r="I49" s="4" t="str">
        <f>IF(A49&lt;('2. Inputs and results'!$B$21+1),I48*(1+'2. Inputs and results'!$B$34)," ")</f>
        <v xml:space="preserve"> </v>
      </c>
      <c r="J49" s="4" t="str">
        <f>IF(A49&lt;('2. Inputs and results'!$B$21+1),J48*(1+'2. Inputs and results'!$B$68)," ")</f>
        <v xml:space="preserve"> </v>
      </c>
      <c r="K49" s="4" t="e">
        <f>IF('Solution 1, (hidden) (2)'!A49&lt;('2. Inputs and results'!$B$21+1),K48+(G49+I49+H49+J49),NA())</f>
        <v>#N/A</v>
      </c>
      <c r="L49" s="4" t="e">
        <f>IF(A49&lt;('2. Inputs and results'!$B$21+1),L48,NA())</f>
        <v>#N/A</v>
      </c>
      <c r="M49" s="4" t="str">
        <f>IF(A49&lt;('2. Inputs and results'!$B$21+1),'2. Inputs and results'!$B$75*'2. Inputs and results'!$B$73," ")</f>
        <v xml:space="preserve"> </v>
      </c>
      <c r="N49" s="4" t="str">
        <f>IF(A49&lt;('2. Inputs and results'!$B$21+1),M49/((1+$P$2)^A49)," ")</f>
        <v xml:space="preserve"> </v>
      </c>
      <c r="O49" s="4" t="str">
        <f>IF(A49&lt;('2. Inputs and results'!$B$21+1),'2. Inputs and results'!$B$73*'2. Inputs and results'!$B$75+O48," ")</f>
        <v xml:space="preserve"> </v>
      </c>
      <c r="P49" s="4" t="str">
        <f>IF(A49&lt;('2. Inputs and results'!$B$21+1),(G49+I49+H49+J49)/((1+$P$2)^A49)," ")</f>
        <v xml:space="preserve"> </v>
      </c>
      <c r="Q49" s="4" t="str">
        <f>IF(A49&lt;('2. Inputs and results'!$B$21+1),Q48+P49," ")</f>
        <v xml:space="preserve"> </v>
      </c>
      <c r="R49" s="4" t="e">
        <f>IF(A49&lt;('2. Inputs and results'!$B$21+1),R48+G49+I49+H49+J49+T49-$V$6,NA())</f>
        <v>#N/A</v>
      </c>
      <c r="S49" s="4" t="str">
        <f>IF(A49&lt;('2. Inputs and results'!$B$21+1),'2. Inputs and results'!$B$79*(R48)," ")</f>
        <v xml:space="preserve"> </v>
      </c>
      <c r="T49" s="4">
        <f t="shared" si="1"/>
        <v>0</v>
      </c>
      <c r="U49" s="4" t="e">
        <f>IF(A49&lt;('2. Inputs and results'!$B$21+1),U48+(T49+I49+G49+H49+J49-$V$6)/((1+$P$2)^A49),NA())</f>
        <v>#N/A</v>
      </c>
      <c r="V49" s="4" t="str">
        <f>IF(A49&lt;('2. Inputs and results'!$B$21+1),V48+('2. Inputs and results'!$B$75*'2. Inputs and results'!$B$73)," ")</f>
        <v xml:space="preserve"> </v>
      </c>
      <c r="W49" s="4" t="e">
        <f>IF(A49&lt;('2. Inputs and results'!$B$21+1),W48+C49+Y49-$V$6,NA())</f>
        <v>#N/A</v>
      </c>
      <c r="X49" s="4" t="str">
        <f>IF(A49&lt;('2. Inputs and results'!$B$21+1),'2. Inputs and results'!$B$79*W48," ")</f>
        <v xml:space="preserve"> </v>
      </c>
      <c r="Y49" s="4">
        <f t="shared" si="2"/>
        <v>0</v>
      </c>
      <c r="Z49" s="4" t="e">
        <f>IF(A49&lt;('2. Inputs and results'!$B$21+1),Z48+(C49-$V$6+Y49)/((1+$P$2)^A49),NA())</f>
        <v>#N/A</v>
      </c>
      <c r="AA49" s="4" t="str">
        <f>IF(A49&lt;('2. Inputs and results'!$B$21+1),AA48+(G49+I49+H49+T49-$V$6)," ")</f>
        <v xml:space="preserve"> </v>
      </c>
      <c r="AB49" s="20" t="e">
        <f>IF(A49&lt;('2. Inputs and results'!$B$21+1),AA49/L49,NA())</f>
        <v>#N/A</v>
      </c>
      <c r="AC49" s="29" t="str">
        <f>IF(A49&lt;('2. Inputs and results'!$B$21+1),AC48+(C49+Y49-$V$6)," ")</f>
        <v xml:space="preserve"> </v>
      </c>
      <c r="AD49" s="20" t="e">
        <f>IF(A49&lt;('2. Inputs and results'!$B$21+1),AC49/L49,NA())</f>
        <v>#N/A</v>
      </c>
      <c r="AE49" t="str">
        <f>IF(A49&lt;('2. Inputs and results'!$B$21+1),-'2. Inputs and results'!$B$121*A49," ")</f>
        <v xml:space="preserve"> </v>
      </c>
      <c r="AF49" t="e">
        <f>IF(A49&lt;('2. Inputs and results'!$B$21+1),AE49/1000,NA())</f>
        <v>#N/A</v>
      </c>
    </row>
    <row r="50" spans="1:32" x14ac:dyDescent="0.25">
      <c r="A50">
        <f t="shared" si="0"/>
        <v>45</v>
      </c>
      <c r="B50" t="str">
        <f>IF(A50&lt;('2. Inputs and results'!$B$21+1),A50," ")</f>
        <v xml:space="preserve"> </v>
      </c>
      <c r="C50" s="4" t="str">
        <f>IF(A50&lt;('2. Inputs and results'!$B$21+1),'2. Inputs and results'!$B$99+'2. Inputs and results'!$B$101," ")</f>
        <v xml:space="preserve"> </v>
      </c>
      <c r="D50" s="4" t="e">
        <f>IF(A50&lt;('2. Inputs and results'!$B$21+1),D49+C50,NA())</f>
        <v>#N/A</v>
      </c>
      <c r="E50" s="4" t="str">
        <f>IF(B50&lt;('2. Inputs and results'!$B$21+1),C50/((1+$P$2)^A50)," ")</f>
        <v xml:space="preserve"> </v>
      </c>
      <c r="F50" s="4" t="str">
        <f>IF(A50&lt;('2. Inputs and results'!$B$21+1),F49+E50," ")</f>
        <v xml:space="preserve"> </v>
      </c>
      <c r="G50" s="4" t="str">
        <f>IF(A50&lt;('2. Inputs and results'!$B$21+1),G49*(1+'2. Inputs and results'!$B$46)," ")</f>
        <v xml:space="preserve"> </v>
      </c>
      <c r="H50" s="4" t="str">
        <f>IF(A50&lt;('2. Inputs and results'!$B$21+1),H49*(1+'2. Inputs and results'!$B$58)," ")</f>
        <v xml:space="preserve"> </v>
      </c>
      <c r="I50" s="4" t="str">
        <f>IF(A50&lt;('2. Inputs and results'!$B$21+1),I49*(1+'2. Inputs and results'!$B$34)," ")</f>
        <v xml:space="preserve"> </v>
      </c>
      <c r="J50" s="4" t="str">
        <f>IF(A50&lt;('2. Inputs and results'!$B$21+1),J49*(1+'2. Inputs and results'!$B$68)," ")</f>
        <v xml:space="preserve"> </v>
      </c>
      <c r="K50" s="4" t="e">
        <f>IF('Solution 1, (hidden) (2)'!A50&lt;('2. Inputs and results'!$B$21+1),K49+(G50+I50+H50+J50),NA())</f>
        <v>#N/A</v>
      </c>
      <c r="L50" s="4" t="e">
        <f>IF(A50&lt;('2. Inputs and results'!$B$21+1),L49,NA())</f>
        <v>#N/A</v>
      </c>
      <c r="M50" s="4" t="str">
        <f>IF(A50&lt;('2. Inputs and results'!$B$21+1),'2. Inputs and results'!$B$75*'2. Inputs and results'!$B$73," ")</f>
        <v xml:space="preserve"> </v>
      </c>
      <c r="N50" s="4" t="str">
        <f>IF(A50&lt;('2. Inputs and results'!$B$21+1),M50/((1+$P$2)^A50)," ")</f>
        <v xml:space="preserve"> </v>
      </c>
      <c r="O50" s="4" t="str">
        <f>IF(A50&lt;('2. Inputs and results'!$B$21+1),'2. Inputs and results'!$B$73*'2. Inputs and results'!$B$75+O49," ")</f>
        <v xml:space="preserve"> </v>
      </c>
      <c r="P50" s="4" t="str">
        <f>IF(A50&lt;('2. Inputs and results'!$B$21+1),(G50+I50+H50+J50)/((1+$P$2)^A50)," ")</f>
        <v xml:space="preserve"> </v>
      </c>
      <c r="Q50" s="4" t="str">
        <f>IF(A50&lt;('2. Inputs and results'!$B$21+1),Q49+P50," ")</f>
        <v xml:space="preserve"> </v>
      </c>
      <c r="R50" s="4" t="e">
        <f>IF(A50&lt;('2. Inputs and results'!$B$21+1),R49+G50+I50+H50+J50+T50-$V$6,NA())</f>
        <v>#N/A</v>
      </c>
      <c r="S50" s="4" t="str">
        <f>IF(A50&lt;('2. Inputs and results'!$B$21+1),'2. Inputs and results'!$B$79*(R49)," ")</f>
        <v xml:space="preserve"> </v>
      </c>
      <c r="T50" s="4">
        <f t="shared" si="1"/>
        <v>0</v>
      </c>
      <c r="U50" s="4" t="e">
        <f>IF(A50&lt;('2. Inputs and results'!$B$21+1),U49+(T50+I50+G50+H50+J50-$V$6)/((1+$P$2)^A50),NA())</f>
        <v>#N/A</v>
      </c>
      <c r="V50" s="4" t="str">
        <f>IF(A50&lt;('2. Inputs and results'!$B$21+1),V49+('2. Inputs and results'!$B$75*'2. Inputs and results'!$B$73)," ")</f>
        <v xml:space="preserve"> </v>
      </c>
      <c r="W50" s="4" t="e">
        <f>IF(A50&lt;('2. Inputs and results'!$B$21+1),W49+C50+Y50-$V$6,NA())</f>
        <v>#N/A</v>
      </c>
      <c r="X50" s="4" t="str">
        <f>IF(A50&lt;('2. Inputs and results'!$B$21+1),'2. Inputs and results'!$B$79*W49," ")</f>
        <v xml:space="preserve"> </v>
      </c>
      <c r="Y50" s="4">
        <f t="shared" si="2"/>
        <v>0</v>
      </c>
      <c r="Z50" s="4" t="e">
        <f>IF(A50&lt;('2. Inputs and results'!$B$21+1),Z49+(C50-$V$6+Y50)/((1+$P$2)^A50),NA())</f>
        <v>#N/A</v>
      </c>
      <c r="AA50" s="4" t="str">
        <f>IF(A50&lt;('2. Inputs and results'!$B$21+1),AA49+(G50+I50+H50+T50-$V$6)," ")</f>
        <v xml:space="preserve"> </v>
      </c>
      <c r="AB50" s="20" t="e">
        <f>IF(A50&lt;('2. Inputs and results'!$B$21+1),AA50/L50,NA())</f>
        <v>#N/A</v>
      </c>
      <c r="AC50" s="29" t="str">
        <f>IF(A50&lt;('2. Inputs and results'!$B$21+1),AC49+(C50+Y50-$V$6)," ")</f>
        <v xml:space="preserve"> </v>
      </c>
      <c r="AD50" s="20" t="e">
        <f>IF(A50&lt;('2. Inputs and results'!$B$21+1),AC50/L50,NA())</f>
        <v>#N/A</v>
      </c>
      <c r="AE50" t="str">
        <f>IF(A50&lt;('2. Inputs and results'!$B$21+1),-'2. Inputs and results'!$B$121*A50," ")</f>
        <v xml:space="preserve"> </v>
      </c>
      <c r="AF50" t="e">
        <f>IF(A50&lt;('2. Inputs and results'!$B$21+1),AE50/1000,NA())</f>
        <v>#N/A</v>
      </c>
    </row>
    <row r="51" spans="1:32" x14ac:dyDescent="0.25">
      <c r="A51">
        <f t="shared" si="0"/>
        <v>46</v>
      </c>
      <c r="B51" t="str">
        <f>IF(A51&lt;('2. Inputs and results'!$B$21+1),A51," ")</f>
        <v xml:space="preserve"> </v>
      </c>
      <c r="C51" s="4" t="str">
        <f>IF(A51&lt;('2. Inputs and results'!$B$21+1),'2. Inputs and results'!$B$99+'2. Inputs and results'!$B$101," ")</f>
        <v xml:space="preserve"> </v>
      </c>
      <c r="D51" s="4" t="e">
        <f>IF(A51&lt;('2. Inputs and results'!$B$21+1),D50+C51,NA())</f>
        <v>#N/A</v>
      </c>
      <c r="E51" s="4" t="str">
        <f>IF(B51&lt;('2. Inputs and results'!$B$21+1),C51/((1+$P$2)^A51)," ")</f>
        <v xml:space="preserve"> </v>
      </c>
      <c r="F51" s="4" t="str">
        <f>IF(A51&lt;('2. Inputs and results'!$B$21+1),F50+E51," ")</f>
        <v xml:space="preserve"> </v>
      </c>
      <c r="G51" s="4" t="str">
        <f>IF(A51&lt;('2. Inputs and results'!$B$21+1),G50*(1+'2. Inputs and results'!$B$46)," ")</f>
        <v xml:space="preserve"> </v>
      </c>
      <c r="H51" s="4" t="str">
        <f>IF(A51&lt;('2. Inputs and results'!$B$21+1),H50*(1+'2. Inputs and results'!$B$58)," ")</f>
        <v xml:space="preserve"> </v>
      </c>
      <c r="I51" s="4" t="str">
        <f>IF(A51&lt;('2. Inputs and results'!$B$21+1),I50*(1+'2. Inputs and results'!$B$34)," ")</f>
        <v xml:space="preserve"> </v>
      </c>
      <c r="J51" s="4" t="str">
        <f>IF(A51&lt;('2. Inputs and results'!$B$21+1),J50*(1+'2. Inputs and results'!$B$68)," ")</f>
        <v xml:space="preserve"> </v>
      </c>
      <c r="K51" s="4" t="e">
        <f>IF('Solution 1, (hidden) (2)'!A51&lt;('2. Inputs and results'!$B$21+1),K50+(G51+I51+H51+J51),NA())</f>
        <v>#N/A</v>
      </c>
      <c r="L51" s="4" t="e">
        <f>IF(A51&lt;('2. Inputs and results'!$B$21+1),L50,NA())</f>
        <v>#N/A</v>
      </c>
      <c r="M51" s="4" t="str">
        <f>IF(A51&lt;('2. Inputs and results'!$B$21+1),'2. Inputs and results'!$B$75*'2. Inputs and results'!$B$73," ")</f>
        <v xml:space="preserve"> </v>
      </c>
      <c r="N51" s="4" t="str">
        <f>IF(A51&lt;('2. Inputs and results'!$B$21+1),M51/((1+$P$2)^A51)," ")</f>
        <v xml:space="preserve"> </v>
      </c>
      <c r="O51" s="4" t="str">
        <f>IF(A51&lt;('2. Inputs and results'!$B$21+1),'2. Inputs and results'!$B$73*'2. Inputs and results'!$B$75+O50," ")</f>
        <v xml:space="preserve"> </v>
      </c>
      <c r="P51" s="4" t="str">
        <f>IF(A51&lt;('2. Inputs and results'!$B$21+1),(G51+I51+H51+J51)/((1+$P$2)^A51)," ")</f>
        <v xml:space="preserve"> </v>
      </c>
      <c r="Q51" s="4" t="str">
        <f>IF(A51&lt;('2. Inputs and results'!$B$21+1),Q50+P51," ")</f>
        <v xml:space="preserve"> </v>
      </c>
      <c r="R51" s="4" t="e">
        <f>IF(A51&lt;('2. Inputs and results'!$B$21+1),R50+G51+I51+H51+J51+T51-$V$6,NA())</f>
        <v>#N/A</v>
      </c>
      <c r="S51" s="4" t="str">
        <f>IF(A51&lt;('2. Inputs and results'!$B$21+1),'2. Inputs and results'!$B$79*(R50)," ")</f>
        <v xml:space="preserve"> </v>
      </c>
      <c r="T51" s="4">
        <f t="shared" si="1"/>
        <v>0</v>
      </c>
      <c r="U51" s="4" t="e">
        <f>IF(A51&lt;('2. Inputs and results'!$B$21+1),U50+(T51+I51+G51+H51+J51-$V$6)/((1+$P$2)^A51),NA())</f>
        <v>#N/A</v>
      </c>
      <c r="V51" s="4" t="str">
        <f>IF(A51&lt;('2. Inputs and results'!$B$21+1),V50+('2. Inputs and results'!$B$75*'2. Inputs and results'!$B$73)," ")</f>
        <v xml:space="preserve"> </v>
      </c>
      <c r="W51" s="4" t="e">
        <f>IF(A51&lt;('2. Inputs and results'!$B$21+1),W50+C51+Y51-$V$6,NA())</f>
        <v>#N/A</v>
      </c>
      <c r="X51" s="4" t="str">
        <f>IF(A51&lt;('2. Inputs and results'!$B$21+1),'2. Inputs and results'!$B$79*W50," ")</f>
        <v xml:space="preserve"> </v>
      </c>
      <c r="Y51" s="4">
        <f t="shared" si="2"/>
        <v>0</v>
      </c>
      <c r="Z51" s="4" t="e">
        <f>IF(A51&lt;('2. Inputs and results'!$B$21+1),Z50+(C51-$V$6+Y51)/((1+$P$2)^A51),NA())</f>
        <v>#N/A</v>
      </c>
      <c r="AA51" s="4" t="str">
        <f>IF(A51&lt;('2. Inputs and results'!$B$21+1),AA50+(G51+I51+H51+T51-$V$6)," ")</f>
        <v xml:space="preserve"> </v>
      </c>
      <c r="AB51" s="20" t="e">
        <f>IF(A51&lt;('2. Inputs and results'!$B$21+1),AA51/L51,NA())</f>
        <v>#N/A</v>
      </c>
      <c r="AC51" s="29" t="str">
        <f>IF(A51&lt;('2. Inputs and results'!$B$21+1),AC50+(C51+Y51-$V$6)," ")</f>
        <v xml:space="preserve"> </v>
      </c>
      <c r="AD51" s="20" t="e">
        <f>IF(A51&lt;('2. Inputs and results'!$B$21+1),AC51/L51,NA())</f>
        <v>#N/A</v>
      </c>
      <c r="AE51" t="str">
        <f>IF(A51&lt;('2. Inputs and results'!$B$21+1),-'2. Inputs and results'!$B$121*A51," ")</f>
        <v xml:space="preserve"> </v>
      </c>
      <c r="AF51" t="e">
        <f>IF(A51&lt;('2. Inputs and results'!$B$21+1),AE51/1000,NA())</f>
        <v>#N/A</v>
      </c>
    </row>
    <row r="52" spans="1:32" x14ac:dyDescent="0.25">
      <c r="A52">
        <f t="shared" si="0"/>
        <v>47</v>
      </c>
      <c r="B52" t="str">
        <f>IF(A52&lt;('2. Inputs and results'!$B$21+1),A52," ")</f>
        <v xml:space="preserve"> </v>
      </c>
      <c r="C52" s="4" t="str">
        <f>IF(A52&lt;('2. Inputs and results'!$B$21+1),'2. Inputs and results'!$B$99+'2. Inputs and results'!$B$101," ")</f>
        <v xml:space="preserve"> </v>
      </c>
      <c r="D52" s="4" t="e">
        <f>IF(A52&lt;('2. Inputs and results'!$B$21+1),D51+C52,NA())</f>
        <v>#N/A</v>
      </c>
      <c r="E52" s="4" t="str">
        <f>IF(B52&lt;('2. Inputs and results'!$B$21+1),C52/((1+$P$2)^A52)," ")</f>
        <v xml:space="preserve"> </v>
      </c>
      <c r="F52" s="4" t="str">
        <f>IF(A52&lt;('2. Inputs and results'!$B$21+1),F51+E52," ")</f>
        <v xml:space="preserve"> </v>
      </c>
      <c r="G52" s="4" t="str">
        <f>IF(A52&lt;('2. Inputs and results'!$B$21+1),G51*(1+'2. Inputs and results'!$B$46)," ")</f>
        <v xml:space="preserve"> </v>
      </c>
      <c r="H52" s="4" t="str">
        <f>IF(A52&lt;('2. Inputs and results'!$B$21+1),H51*(1+'2. Inputs and results'!$B$58)," ")</f>
        <v xml:space="preserve"> </v>
      </c>
      <c r="I52" s="4" t="str">
        <f>IF(A52&lt;('2. Inputs and results'!$B$21+1),I51*(1+'2. Inputs and results'!$B$34)," ")</f>
        <v xml:space="preserve"> </v>
      </c>
      <c r="J52" s="4" t="str">
        <f>IF(A52&lt;('2. Inputs and results'!$B$21+1),J51*(1+'2. Inputs and results'!$B$68)," ")</f>
        <v xml:space="preserve"> </v>
      </c>
      <c r="K52" s="4" t="e">
        <f>IF('Solution 1, (hidden) (2)'!A52&lt;('2. Inputs and results'!$B$21+1),K51+(G52+I52+H52+J52),NA())</f>
        <v>#N/A</v>
      </c>
      <c r="L52" s="4" t="e">
        <f>IF(A52&lt;('2. Inputs and results'!$B$21+1),L51,NA())</f>
        <v>#N/A</v>
      </c>
      <c r="M52" s="4" t="str">
        <f>IF(A52&lt;('2. Inputs and results'!$B$21+1),'2. Inputs and results'!$B$75*'2. Inputs and results'!$B$73," ")</f>
        <v xml:space="preserve"> </v>
      </c>
      <c r="N52" s="4" t="str">
        <f>IF(A52&lt;('2. Inputs and results'!$B$21+1),M52/((1+$P$2)^A52)," ")</f>
        <v xml:space="preserve"> </v>
      </c>
      <c r="O52" s="4" t="str">
        <f>IF(A52&lt;('2. Inputs and results'!$B$21+1),'2. Inputs and results'!$B$73*'2. Inputs and results'!$B$75+O51," ")</f>
        <v xml:space="preserve"> </v>
      </c>
      <c r="P52" s="4" t="str">
        <f>IF(A52&lt;('2. Inputs and results'!$B$21+1),(G52+I52+H52+J52)/((1+$P$2)^A52)," ")</f>
        <v xml:space="preserve"> </v>
      </c>
      <c r="Q52" s="4" t="str">
        <f>IF(A52&lt;('2. Inputs and results'!$B$21+1),Q51+P52," ")</f>
        <v xml:space="preserve"> </v>
      </c>
      <c r="R52" s="4" t="e">
        <f>IF(A52&lt;('2. Inputs and results'!$B$21+1),R51+G52+I52+H52+J52+T52-$V$6,NA())</f>
        <v>#N/A</v>
      </c>
      <c r="S52" s="4" t="str">
        <f>IF(A52&lt;('2. Inputs and results'!$B$21+1),'2. Inputs and results'!$B$79*(R51)," ")</f>
        <v xml:space="preserve"> </v>
      </c>
      <c r="T52" s="4">
        <f t="shared" si="1"/>
        <v>0</v>
      </c>
      <c r="U52" s="4" t="e">
        <f>IF(A52&lt;('2. Inputs and results'!$B$21+1),U51+(T52+I52+G52+H52+J52-$V$6)/((1+$P$2)^A52),NA())</f>
        <v>#N/A</v>
      </c>
      <c r="V52" s="4" t="str">
        <f>IF(A52&lt;('2. Inputs and results'!$B$21+1),V51+('2. Inputs and results'!$B$75*'2. Inputs and results'!$B$73)," ")</f>
        <v xml:space="preserve"> </v>
      </c>
      <c r="W52" s="4" t="e">
        <f>IF(A52&lt;('2. Inputs and results'!$B$21+1),W51+C52+Y52-$V$6,NA())</f>
        <v>#N/A</v>
      </c>
      <c r="X52" s="4" t="str">
        <f>IF(A52&lt;('2. Inputs and results'!$B$21+1),'2. Inputs and results'!$B$79*W51," ")</f>
        <v xml:space="preserve"> </v>
      </c>
      <c r="Y52" s="4">
        <f t="shared" si="2"/>
        <v>0</v>
      </c>
      <c r="Z52" s="4" t="e">
        <f>IF(A52&lt;('2. Inputs and results'!$B$21+1),Z51+(C52-$V$6+Y52)/((1+$P$2)^A52),NA())</f>
        <v>#N/A</v>
      </c>
      <c r="AA52" s="4" t="str">
        <f>IF(A52&lt;('2. Inputs and results'!$B$21+1),AA51+(G52+I52+H52+T52-$V$6)," ")</f>
        <v xml:space="preserve"> </v>
      </c>
      <c r="AB52" s="20" t="e">
        <f>IF(A52&lt;('2. Inputs and results'!$B$21+1),AA52/L52,NA())</f>
        <v>#N/A</v>
      </c>
      <c r="AC52" s="29" t="str">
        <f>IF(A52&lt;('2. Inputs and results'!$B$21+1),AC51+(C52+Y52-$V$6)," ")</f>
        <v xml:space="preserve"> </v>
      </c>
      <c r="AD52" s="20" t="e">
        <f>IF(A52&lt;('2. Inputs and results'!$B$21+1),AC52/L52,NA())</f>
        <v>#N/A</v>
      </c>
      <c r="AE52" t="str">
        <f>IF(A52&lt;('2. Inputs and results'!$B$21+1),-'2. Inputs and results'!$B$121*A52," ")</f>
        <v xml:space="preserve"> </v>
      </c>
      <c r="AF52" t="e">
        <f>IF(A52&lt;('2. Inputs and results'!$B$21+1),AE52/1000,NA())</f>
        <v>#N/A</v>
      </c>
    </row>
    <row r="53" spans="1:32" x14ac:dyDescent="0.25">
      <c r="A53">
        <f t="shared" si="0"/>
        <v>48</v>
      </c>
      <c r="B53" t="str">
        <f>IF(A53&lt;('2. Inputs and results'!$B$21+1),A53," ")</f>
        <v xml:space="preserve"> </v>
      </c>
      <c r="C53" s="4" t="str">
        <f>IF(A53&lt;('2. Inputs and results'!$B$21+1),'2. Inputs and results'!$B$99+'2. Inputs and results'!$B$101," ")</f>
        <v xml:space="preserve"> </v>
      </c>
      <c r="D53" s="4" t="e">
        <f>IF(A53&lt;('2. Inputs and results'!$B$21+1),D52+C53,NA())</f>
        <v>#N/A</v>
      </c>
      <c r="E53" s="4" t="str">
        <f>IF(B53&lt;('2. Inputs and results'!$B$21+1),C53/((1+$P$2)^A53)," ")</f>
        <v xml:space="preserve"> </v>
      </c>
      <c r="F53" s="4" t="str">
        <f>IF(A53&lt;('2. Inputs and results'!$B$21+1),F52+E53," ")</f>
        <v xml:space="preserve"> </v>
      </c>
      <c r="G53" s="4" t="str">
        <f>IF(A53&lt;('2. Inputs and results'!$B$21+1),G52*(1+'2. Inputs and results'!$B$46)," ")</f>
        <v xml:space="preserve"> </v>
      </c>
      <c r="H53" s="4" t="str">
        <f>IF(A53&lt;('2. Inputs and results'!$B$21+1),H52*(1+'2. Inputs and results'!$B$58)," ")</f>
        <v xml:space="preserve"> </v>
      </c>
      <c r="I53" s="4" t="str">
        <f>IF(A53&lt;('2. Inputs and results'!$B$21+1),I52*(1+'2. Inputs and results'!$B$34)," ")</f>
        <v xml:space="preserve"> </v>
      </c>
      <c r="J53" s="4" t="str">
        <f>IF(A53&lt;('2. Inputs and results'!$B$21+1),J52*(1+'2. Inputs and results'!$B$68)," ")</f>
        <v xml:space="preserve"> </v>
      </c>
      <c r="K53" s="4" t="e">
        <f>IF('Solution 1, (hidden) (2)'!A53&lt;('2. Inputs and results'!$B$21+1),K52+(G53+I53+H53+J53),NA())</f>
        <v>#N/A</v>
      </c>
      <c r="L53" s="4" t="e">
        <f>IF(A53&lt;('2. Inputs and results'!$B$21+1),L52,NA())</f>
        <v>#N/A</v>
      </c>
      <c r="M53" s="4" t="str">
        <f>IF(A53&lt;('2. Inputs and results'!$B$21+1),'2. Inputs and results'!$B$75*'2. Inputs and results'!$B$73," ")</f>
        <v xml:space="preserve"> </v>
      </c>
      <c r="N53" s="4" t="str">
        <f>IF(A53&lt;('2. Inputs and results'!$B$21+1),M53/((1+$P$2)^A53)," ")</f>
        <v xml:space="preserve"> </v>
      </c>
      <c r="O53" s="4" t="str">
        <f>IF(A53&lt;('2. Inputs and results'!$B$21+1),'2. Inputs and results'!$B$73*'2. Inputs and results'!$B$75+O52," ")</f>
        <v xml:space="preserve"> </v>
      </c>
      <c r="P53" s="4" t="str">
        <f>IF(A53&lt;('2. Inputs and results'!$B$21+1),(G53+I53+H53+J53)/((1+$P$2)^A53)," ")</f>
        <v xml:space="preserve"> </v>
      </c>
      <c r="Q53" s="4" t="str">
        <f>IF(A53&lt;('2. Inputs and results'!$B$21+1),Q52+P53," ")</f>
        <v xml:space="preserve"> </v>
      </c>
      <c r="R53" s="4" t="e">
        <f>IF(A53&lt;('2. Inputs and results'!$B$21+1),R52+G53+I53+H53+J53+T53-$V$6,NA())</f>
        <v>#N/A</v>
      </c>
      <c r="S53" s="4" t="str">
        <f>IF(A53&lt;('2. Inputs and results'!$B$21+1),'2. Inputs and results'!$B$79*(R52)," ")</f>
        <v xml:space="preserve"> </v>
      </c>
      <c r="T53" s="4">
        <f t="shared" si="1"/>
        <v>0</v>
      </c>
      <c r="U53" s="4" t="e">
        <f>IF(A53&lt;('2. Inputs and results'!$B$21+1),U52+(T53+I53+G53+H53+J53-$V$6)/((1+$P$2)^A53),NA())</f>
        <v>#N/A</v>
      </c>
      <c r="V53" s="4" t="str">
        <f>IF(A53&lt;('2. Inputs and results'!$B$21+1),V52+('2. Inputs and results'!$B$75*'2. Inputs and results'!$B$73)," ")</f>
        <v xml:space="preserve"> </v>
      </c>
      <c r="W53" s="4" t="e">
        <f>IF(A53&lt;('2. Inputs and results'!$B$21+1),W52+C53+Y53-$V$6,NA())</f>
        <v>#N/A</v>
      </c>
      <c r="X53" s="4" t="str">
        <f>IF(A53&lt;('2. Inputs and results'!$B$21+1),'2. Inputs and results'!$B$79*W52," ")</f>
        <v xml:space="preserve"> </v>
      </c>
      <c r="Y53" s="4">
        <f t="shared" si="2"/>
        <v>0</v>
      </c>
      <c r="Z53" s="4" t="e">
        <f>IF(A53&lt;('2. Inputs and results'!$B$21+1),Z52+(C53-$V$6+Y53)/((1+$P$2)^A53),NA())</f>
        <v>#N/A</v>
      </c>
      <c r="AA53" s="4" t="str">
        <f>IF(A53&lt;('2. Inputs and results'!$B$21+1),AA52+(G53+I53+H53+T53-$V$6)," ")</f>
        <v xml:space="preserve"> </v>
      </c>
      <c r="AB53" s="20" t="e">
        <f>IF(A53&lt;('2. Inputs and results'!$B$21+1),AA53/L53,NA())</f>
        <v>#N/A</v>
      </c>
      <c r="AC53" s="29" t="str">
        <f>IF(A53&lt;('2. Inputs and results'!$B$21+1),AC52+(C53+Y53-$V$6)," ")</f>
        <v xml:space="preserve"> </v>
      </c>
      <c r="AD53" s="20" t="e">
        <f>IF(A53&lt;('2. Inputs and results'!$B$21+1),AC53/L53,NA())</f>
        <v>#N/A</v>
      </c>
      <c r="AE53" t="str">
        <f>IF(A53&lt;('2. Inputs and results'!$B$21+1),-'2. Inputs and results'!$B$121*A53," ")</f>
        <v xml:space="preserve"> </v>
      </c>
      <c r="AF53" t="e">
        <f>IF(A53&lt;('2. Inputs and results'!$B$21+1),AE53/1000,NA())</f>
        <v>#N/A</v>
      </c>
    </row>
    <row r="54" spans="1:32" x14ac:dyDescent="0.25">
      <c r="A54">
        <f t="shared" si="0"/>
        <v>49</v>
      </c>
      <c r="B54" t="str">
        <f>IF(A54&lt;('2. Inputs and results'!$B$21+1),A54," ")</f>
        <v xml:space="preserve"> </v>
      </c>
      <c r="C54" s="4" t="str">
        <f>IF(A54&lt;('2. Inputs and results'!$B$21+1),'2. Inputs and results'!$B$99+'2. Inputs and results'!$B$101," ")</f>
        <v xml:space="preserve"> </v>
      </c>
      <c r="D54" s="4" t="e">
        <f>IF(A54&lt;('2. Inputs and results'!$B$21+1),D53+C54,NA())</f>
        <v>#N/A</v>
      </c>
      <c r="E54" s="4" t="str">
        <f>IF(B54&lt;('2. Inputs and results'!$B$21+1),C54/((1+$P$2)^A54)," ")</f>
        <v xml:space="preserve"> </v>
      </c>
      <c r="F54" s="4" t="str">
        <f>IF(A54&lt;('2. Inputs and results'!$B$21+1),F53+E54," ")</f>
        <v xml:space="preserve"> </v>
      </c>
      <c r="G54" s="4" t="str">
        <f>IF(A54&lt;('2. Inputs and results'!$B$21+1),G53*(1+'2. Inputs and results'!$B$46)," ")</f>
        <v xml:space="preserve"> </v>
      </c>
      <c r="H54" s="4" t="str">
        <f>IF(A54&lt;('2. Inputs and results'!$B$21+1),H53*(1+'2. Inputs and results'!$B$58)," ")</f>
        <v xml:space="preserve"> </v>
      </c>
      <c r="I54" s="4" t="str">
        <f>IF(A54&lt;('2. Inputs and results'!$B$21+1),I53*(1+'2. Inputs and results'!$B$34)," ")</f>
        <v xml:space="preserve"> </v>
      </c>
      <c r="J54" s="4" t="str">
        <f>IF(A54&lt;('2. Inputs and results'!$B$21+1),J53*(1+'2. Inputs and results'!$B$68)," ")</f>
        <v xml:space="preserve"> </v>
      </c>
      <c r="K54" s="4" t="e">
        <f>IF('Solution 1, (hidden) (2)'!A54&lt;('2. Inputs and results'!$B$21+1),K53+(G54+I54+H54+J54),NA())</f>
        <v>#N/A</v>
      </c>
      <c r="L54" s="4" t="e">
        <f>IF(A54&lt;('2. Inputs and results'!$B$21+1),L53,NA())</f>
        <v>#N/A</v>
      </c>
      <c r="M54" s="4" t="str">
        <f>IF(A54&lt;('2. Inputs and results'!$B$21+1),'2. Inputs and results'!$B$75*'2. Inputs and results'!$B$73," ")</f>
        <v xml:space="preserve"> </v>
      </c>
      <c r="N54" s="4" t="str">
        <f>IF(A54&lt;('2. Inputs and results'!$B$21+1),M54/((1+$P$2)^A54)," ")</f>
        <v xml:space="preserve"> </v>
      </c>
      <c r="O54" s="4" t="str">
        <f>IF(A54&lt;('2. Inputs and results'!$B$21+1),'2. Inputs and results'!$B$73*'2. Inputs and results'!$B$75+O53," ")</f>
        <v xml:space="preserve"> </v>
      </c>
      <c r="P54" s="4" t="str">
        <f>IF(A54&lt;('2. Inputs and results'!$B$21+1),(G54+I54+H54+J54)/((1+$P$2)^A54)," ")</f>
        <v xml:space="preserve"> </v>
      </c>
      <c r="Q54" s="4" t="str">
        <f>IF(A54&lt;('2. Inputs and results'!$B$21+1),Q53+P54," ")</f>
        <v xml:space="preserve"> </v>
      </c>
      <c r="R54" s="4" t="e">
        <f>IF(A54&lt;('2. Inputs and results'!$B$21+1),R53+G54+I54+H54+J54+T54-$V$6,NA())</f>
        <v>#N/A</v>
      </c>
      <c r="S54" s="4" t="str">
        <f>IF(A54&lt;('2. Inputs and results'!$B$21+1),'2. Inputs and results'!$B$79*(R53)," ")</f>
        <v xml:space="preserve"> </v>
      </c>
      <c r="T54" s="4">
        <f t="shared" si="1"/>
        <v>0</v>
      </c>
      <c r="U54" s="4" t="e">
        <f>IF(A54&lt;('2. Inputs and results'!$B$21+1),U53+(T54+I54+G54+H54+J54-$V$6)/((1+$P$2)^A54),NA())</f>
        <v>#N/A</v>
      </c>
      <c r="V54" s="4" t="str">
        <f>IF(A54&lt;('2. Inputs and results'!$B$21+1),V53+('2. Inputs and results'!$B$75*'2. Inputs and results'!$B$73)," ")</f>
        <v xml:space="preserve"> </v>
      </c>
      <c r="W54" s="4" t="e">
        <f>IF(A54&lt;('2. Inputs and results'!$B$21+1),W53+C54+Y54-$V$6,NA())</f>
        <v>#N/A</v>
      </c>
      <c r="X54" s="4" t="str">
        <f>IF(A54&lt;('2. Inputs and results'!$B$21+1),'2. Inputs and results'!$B$79*W53," ")</f>
        <v xml:space="preserve"> </v>
      </c>
      <c r="Y54" s="4">
        <f t="shared" si="2"/>
        <v>0</v>
      </c>
      <c r="Z54" s="4" t="e">
        <f>IF(A54&lt;('2. Inputs and results'!$B$21+1),Z53+(C54-$V$6+Y54)/((1+$P$2)^A54),NA())</f>
        <v>#N/A</v>
      </c>
      <c r="AA54" s="4" t="str">
        <f>IF(A54&lt;('2. Inputs and results'!$B$21+1),AA53+(G54+I54+H54+T54-$V$6)," ")</f>
        <v xml:space="preserve"> </v>
      </c>
      <c r="AB54" s="20" t="e">
        <f>IF(A54&lt;('2. Inputs and results'!$B$21+1),AA54/L54,NA())</f>
        <v>#N/A</v>
      </c>
      <c r="AC54" s="29" t="str">
        <f>IF(A54&lt;('2. Inputs and results'!$B$21+1),AC53+(C54+Y54-$V$6)," ")</f>
        <v xml:space="preserve"> </v>
      </c>
      <c r="AD54" s="20" t="e">
        <f>IF(A54&lt;('2. Inputs and results'!$B$21+1),AC54/L54,NA())</f>
        <v>#N/A</v>
      </c>
      <c r="AE54" t="str">
        <f>IF(A54&lt;('2. Inputs and results'!$B$21+1),-'2. Inputs and results'!$B$121*A54," ")</f>
        <v xml:space="preserve"> </v>
      </c>
      <c r="AF54" t="e">
        <f>IF(A54&lt;('2. Inputs and results'!$B$21+1),AE54/1000,NA())</f>
        <v>#N/A</v>
      </c>
    </row>
    <row r="55" spans="1:32" x14ac:dyDescent="0.25">
      <c r="A55">
        <f t="shared" si="0"/>
        <v>50</v>
      </c>
      <c r="B55" t="str">
        <f>IF(A55&lt;('2. Inputs and results'!$B$21+1),A55," ")</f>
        <v xml:space="preserve"> </v>
      </c>
      <c r="C55" s="4" t="str">
        <f>IF(A55&lt;('2. Inputs and results'!$B$21+1),'2. Inputs and results'!$B$99+'2. Inputs and results'!$B$101," ")</f>
        <v xml:space="preserve"> </v>
      </c>
      <c r="D55" s="4" t="e">
        <f>IF(A55&lt;('2. Inputs and results'!$B$21+1),D54+C55,NA())</f>
        <v>#N/A</v>
      </c>
      <c r="E55" s="4" t="str">
        <f>IF(B55&lt;('2. Inputs and results'!$B$21+1),C55/((1+$P$2)^A55)," ")</f>
        <v xml:space="preserve"> </v>
      </c>
      <c r="F55" s="4" t="str">
        <f>IF(A55&lt;('2. Inputs and results'!$B$21+1),F54+E55," ")</f>
        <v xml:space="preserve"> </v>
      </c>
      <c r="G55" s="4" t="str">
        <f>IF(A55&lt;('2. Inputs and results'!$B$21+1),G54*(1+'2. Inputs and results'!$B$46)," ")</f>
        <v xml:space="preserve"> </v>
      </c>
      <c r="H55" s="4" t="str">
        <f>IF(A55&lt;('2. Inputs and results'!$B$21+1),H54*(1+'2. Inputs and results'!$B$58)," ")</f>
        <v xml:space="preserve"> </v>
      </c>
      <c r="I55" s="4" t="str">
        <f>IF(A55&lt;('2. Inputs and results'!$B$21+1),I54*(1+'2. Inputs and results'!$B$34)," ")</f>
        <v xml:space="preserve"> </v>
      </c>
      <c r="J55" s="4" t="str">
        <f>IF(A55&lt;('2. Inputs and results'!$B$21+1),J54*(1+'2. Inputs and results'!$B$68)," ")</f>
        <v xml:space="preserve"> </v>
      </c>
      <c r="K55" s="4" t="e">
        <f>IF('Solution 1, (hidden) (2)'!A55&lt;('2. Inputs and results'!$B$21+1),K54+(G55+I55+H55+J55),NA())</f>
        <v>#N/A</v>
      </c>
      <c r="L55" s="4" t="e">
        <f>IF(A55&lt;('2. Inputs and results'!$B$21+1),L54,NA())</f>
        <v>#N/A</v>
      </c>
      <c r="M55" s="4" t="str">
        <f>IF(A55&lt;('2. Inputs and results'!$B$21+1),'2. Inputs and results'!$B$75*'2. Inputs and results'!$B$73," ")</f>
        <v xml:space="preserve"> </v>
      </c>
      <c r="N55" s="4" t="str">
        <f>IF(A55&lt;('2. Inputs and results'!$B$21+1),M55/((1+$P$2)^A55)," ")</f>
        <v xml:space="preserve"> </v>
      </c>
      <c r="O55" s="4" t="str">
        <f>IF(A55&lt;('2. Inputs and results'!$B$21+1),'2. Inputs and results'!$B$73*'2. Inputs and results'!$B$75+O54," ")</f>
        <v xml:space="preserve"> </v>
      </c>
      <c r="P55" s="4" t="str">
        <f>IF(A55&lt;('2. Inputs and results'!$B$21+1),(G55+I55+H55+J55)/((1+$P$2)^A55)," ")</f>
        <v xml:space="preserve"> </v>
      </c>
      <c r="Q55" s="4" t="str">
        <f>IF(A55&lt;('2. Inputs and results'!$B$21+1),Q54+P55," ")</f>
        <v xml:space="preserve"> </v>
      </c>
      <c r="R55" s="4" t="e">
        <f>IF(A55&lt;('2. Inputs and results'!$B$21+1),R54+G55+I55+H55+J55+T55-$V$6,NA())</f>
        <v>#N/A</v>
      </c>
      <c r="S55" s="4" t="str">
        <f>IF(A55&lt;('2. Inputs and results'!$B$21+1),'2. Inputs and results'!$B$79*(R54)," ")</f>
        <v xml:space="preserve"> </v>
      </c>
      <c r="T55" s="4">
        <f t="shared" si="1"/>
        <v>0</v>
      </c>
      <c r="U55" s="4" t="e">
        <f>IF(A55&lt;('2. Inputs and results'!$B$21+1),U54+(T55+I55+G55+H55+J55-$V$6)/((1+$P$2)^A55),NA())</f>
        <v>#N/A</v>
      </c>
      <c r="V55" s="4" t="str">
        <f>IF(A55&lt;('2. Inputs and results'!$B$21+1),V54+('2. Inputs and results'!$B$75*'2. Inputs and results'!$B$73)," ")</f>
        <v xml:space="preserve"> </v>
      </c>
      <c r="W55" s="4" t="e">
        <f>IF(A55&lt;('2. Inputs and results'!$B$21+1),W54+C55+Y55-$V$6,NA())</f>
        <v>#N/A</v>
      </c>
      <c r="X55" s="4" t="str">
        <f>IF(A55&lt;('2. Inputs and results'!$B$21+1),'2. Inputs and results'!$B$79*W54," ")</f>
        <v xml:space="preserve"> </v>
      </c>
      <c r="Y55" s="4">
        <f t="shared" si="2"/>
        <v>0</v>
      </c>
      <c r="Z55" s="4" t="e">
        <f>IF(A55&lt;('2. Inputs and results'!$B$21+1),Z54+(C55-$V$6+Y55)/((1+$P$2)^A55),NA())</f>
        <v>#N/A</v>
      </c>
      <c r="AA55" s="4" t="str">
        <f>IF(A55&lt;('2. Inputs and results'!$B$21+1),AA54+(G55+I55+H55+T55-$V$6)," ")</f>
        <v xml:space="preserve"> </v>
      </c>
      <c r="AB55" s="20" t="e">
        <f>IF(A55&lt;('2. Inputs and results'!$B$21+1),AA55/L55,NA())</f>
        <v>#N/A</v>
      </c>
      <c r="AC55" s="29" t="str">
        <f>IF(A55&lt;('2. Inputs and results'!$B$21+1),AC54+(C55+Y55-$V$6)," ")</f>
        <v xml:space="preserve"> </v>
      </c>
      <c r="AD55" s="20" t="e">
        <f>IF(A55&lt;('2. Inputs and results'!$B$21+1),AC55/L55,NA())</f>
        <v>#N/A</v>
      </c>
      <c r="AE55" t="str">
        <f>IF(A55&lt;('2. Inputs and results'!$B$21+1),-'2. Inputs and results'!$B$121*A55," ")</f>
        <v xml:space="preserve"> </v>
      </c>
      <c r="AF55" t="e">
        <f>IF(A55&lt;('2. Inputs and results'!$B$21+1),AE55/1000,NA())</f>
        <v>#N/A</v>
      </c>
    </row>
    <row r="56" spans="1:32" x14ac:dyDescent="0.25">
      <c r="G56" s="4"/>
      <c r="H56" s="4"/>
      <c r="I56" s="4"/>
      <c r="J56" s="4"/>
      <c r="K56" s="4"/>
    </row>
    <row r="57" spans="1:32" x14ac:dyDescent="0.25">
      <c r="H57" s="4"/>
      <c r="I57" s="4"/>
      <c r="J57" s="4"/>
      <c r="K57" s="4"/>
    </row>
    <row r="58" spans="1:32" x14ac:dyDescent="0.25">
      <c r="K58" s="4"/>
    </row>
    <row r="59" spans="1:32" x14ac:dyDescent="0.25">
      <c r="K59" s="4"/>
    </row>
    <row r="60" spans="1:32" x14ac:dyDescent="0.25">
      <c r="K60" s="4"/>
    </row>
  </sheetData>
  <sheetProtection sheet="1" objects="1" scenarios="1"/>
  <conditionalFormatting sqref="K56:K60 A5:AF6 H57:J57 I56:J56 G8:H56 D8:F55 D7:T7 A7:C55 I8:T55 U7:AF55">
    <cfRule type="cellIs" dxfId="10" priority="3" operator="equal">
      <formula>#N/A</formula>
    </cfRule>
    <cfRule type="cellIs" dxfId="9" priority="7" operator="equal">
      <formula>#N/A</formula>
    </cfRule>
    <cfRule type="cellIs" dxfId="8" priority="8" operator="equal">
      <formula>#N/A</formula>
    </cfRule>
  </conditionalFormatting>
  <conditionalFormatting sqref="D5:D55">
    <cfRule type="expression" dxfId="7" priority="5">
      <formula>#N/A</formula>
    </cfRule>
    <cfRule type="cellIs" dxfId="6" priority="6" operator="equal">
      <formula>#N/A</formula>
    </cfRule>
  </conditionalFormatting>
  <conditionalFormatting sqref="K56:K60 A4:S6 H57:J57 I56:J56 G8:H56 D8:F55 D7:S7 A7:C55 I8:S55">
    <cfRule type="cellIs" dxfId="5" priority="4" operator="equal">
      <formula>"PUUTTUU()"</formula>
    </cfRule>
  </conditionalFormatting>
  <conditionalFormatting sqref="K56:K60 A4:AF6 H57:J57 I56:J56 G8:H56 D8:F55 D7:T7 A7:C55 I8:T55 U7:AF55">
    <cfRule type="containsErrors" dxfId="4" priority="1">
      <formula>ISERROR(A4)</formula>
    </cfRule>
    <cfRule type="containsText" dxfId="3" priority="2" operator="containsText" text="#PUUTTUU!">
      <formula>NOT(ISERROR(SEARCH("#PUUTTUU!",A4)))</formula>
    </cfRule>
  </conditionalFormatting>
  <pageMargins left="0.7" right="0.7" top="0.75" bottom="0.75" header="0.3" footer="0.3"/>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56"/>
  <sheetViews>
    <sheetView topLeftCell="T1" workbookViewId="0">
      <selection activeCell="U7" sqref="U7"/>
    </sheetView>
  </sheetViews>
  <sheetFormatPr defaultRowHeight="15" x14ac:dyDescent="0.25"/>
  <cols>
    <col min="1" max="2" width="27.42578125" customWidth="1"/>
    <col min="3" max="3" width="36.5703125" customWidth="1"/>
    <col min="4" max="4" width="34.85546875" customWidth="1"/>
    <col min="5" max="5" width="37.5703125" customWidth="1"/>
    <col min="6" max="6" width="44.140625" customWidth="1"/>
    <col min="7" max="8" width="24.85546875" customWidth="1"/>
    <col min="9" max="9" width="26.42578125" customWidth="1"/>
    <col min="10" max="10" width="26.42578125" style="39"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x14ac:dyDescent="0.25">
      <c r="K1" s="11"/>
      <c r="P1" s="5"/>
      <c r="S1" s="11"/>
      <c r="T1" s="11"/>
      <c r="U1" s="15"/>
      <c r="V1" s="11"/>
      <c r="Z1" s="6" t="s">
        <v>38</v>
      </c>
      <c r="AA1" s="6"/>
      <c r="AB1" s="6"/>
      <c r="AC1" s="6"/>
      <c r="AD1" s="6"/>
    </row>
    <row r="2" spans="1:32" x14ac:dyDescent="0.25">
      <c r="O2" s="6" t="s">
        <v>12</v>
      </c>
      <c r="P2" s="14">
        <f>'2. Inputs and results'!C81</f>
        <v>0.04</v>
      </c>
      <c r="R2" s="15" t="s">
        <v>73</v>
      </c>
      <c r="S2" s="15"/>
      <c r="T2" s="15"/>
      <c r="U2" s="15"/>
      <c r="V2" s="15"/>
      <c r="W2" s="15" t="s">
        <v>73</v>
      </c>
      <c r="X2" s="15"/>
      <c r="Y2" s="15"/>
      <c r="Z2" s="15"/>
      <c r="AA2" s="15"/>
      <c r="AB2" s="15"/>
      <c r="AC2" s="15"/>
      <c r="AD2" s="15"/>
    </row>
    <row r="3" spans="1:32" x14ac:dyDescent="0.25">
      <c r="G3" s="25" t="s">
        <v>28</v>
      </c>
      <c r="H3" s="25"/>
      <c r="I3" s="11"/>
      <c r="J3" s="11"/>
      <c r="K3" s="11"/>
      <c r="R3" s="15"/>
      <c r="S3" s="15"/>
      <c r="T3" s="15"/>
      <c r="V3" s="15"/>
      <c r="W3" s="15"/>
      <c r="X3" s="15"/>
      <c r="Y3" s="15"/>
      <c r="AA3" t="s">
        <v>156</v>
      </c>
      <c r="AB3" t="s">
        <v>156</v>
      </c>
      <c r="AC3" t="s">
        <v>156</v>
      </c>
      <c r="AD3" t="s">
        <v>156</v>
      </c>
      <c r="AE3" t="s">
        <v>31</v>
      </c>
    </row>
    <row r="4" spans="1:32" x14ac:dyDescent="0.25">
      <c r="A4" t="s">
        <v>0</v>
      </c>
      <c r="C4" s="7" t="s">
        <v>58</v>
      </c>
      <c r="D4" s="7" t="s">
        <v>27</v>
      </c>
      <c r="E4" s="7" t="s">
        <v>59</v>
      </c>
      <c r="F4" s="7" t="s">
        <v>66</v>
      </c>
      <c r="G4" s="12" t="s">
        <v>29</v>
      </c>
      <c r="H4" s="12" t="s">
        <v>103</v>
      </c>
      <c r="I4" s="12" t="s">
        <v>30</v>
      </c>
      <c r="J4" s="12" t="s">
        <v>155</v>
      </c>
      <c r="K4" s="4" t="s">
        <v>13</v>
      </c>
      <c r="L4" s="4" t="s">
        <v>56</v>
      </c>
      <c r="M4" s="4" t="s">
        <v>34</v>
      </c>
      <c r="N4" s="4" t="s">
        <v>46</v>
      </c>
      <c r="O4" s="4" t="s">
        <v>14</v>
      </c>
      <c r="P4" s="4" t="s">
        <v>15</v>
      </c>
      <c r="Q4" s="4" t="s">
        <v>16</v>
      </c>
      <c r="R4" s="16" t="s">
        <v>42</v>
      </c>
      <c r="S4" s="16" t="s">
        <v>36</v>
      </c>
      <c r="T4" s="16" t="s">
        <v>52</v>
      </c>
      <c r="U4" s="16" t="s">
        <v>39</v>
      </c>
      <c r="V4" s="16" t="s">
        <v>34</v>
      </c>
      <c r="W4" s="7" t="s">
        <v>1</v>
      </c>
      <c r="X4" s="7" t="s">
        <v>36</v>
      </c>
      <c r="Y4" s="7" t="s">
        <v>52</v>
      </c>
      <c r="Z4" s="16" t="s">
        <v>40</v>
      </c>
      <c r="AA4" s="16" t="s">
        <v>76</v>
      </c>
      <c r="AB4" s="15" t="s">
        <v>44</v>
      </c>
      <c r="AC4" s="15" t="s">
        <v>77</v>
      </c>
      <c r="AD4" s="15" t="s">
        <v>43</v>
      </c>
      <c r="AE4" t="s">
        <v>33</v>
      </c>
      <c r="AF4" t="s">
        <v>32</v>
      </c>
    </row>
    <row r="5" spans="1:32" x14ac:dyDescent="0.25">
      <c r="A5">
        <v>0</v>
      </c>
      <c r="B5">
        <f>IF(A5&lt;('2. Inputs and results'!$C$21+1),A5," ")</f>
        <v>0</v>
      </c>
      <c r="C5" s="4">
        <v>0</v>
      </c>
      <c r="D5" s="4">
        <f>C5</f>
        <v>0</v>
      </c>
      <c r="E5" s="4"/>
      <c r="F5" s="4"/>
      <c r="G5" s="4">
        <v>0</v>
      </c>
      <c r="H5" s="4">
        <v>0</v>
      </c>
      <c r="I5" s="4">
        <v>0</v>
      </c>
      <c r="J5" s="4">
        <v>0</v>
      </c>
      <c r="K5" s="4">
        <f>G5+I5+H5+J5</f>
        <v>0</v>
      </c>
      <c r="L5" s="4">
        <f>'2. Inputs and results'!$C$73-('2. Inputs and results'!C77*'2. Inputs and results'!C73)</f>
        <v>212500</v>
      </c>
      <c r="M5" s="4"/>
      <c r="N5" s="4"/>
      <c r="O5" s="4"/>
      <c r="P5" s="4"/>
      <c r="Q5" s="4"/>
      <c r="R5" s="4">
        <f>-L5</f>
        <v>-212500</v>
      </c>
      <c r="S5" s="4"/>
      <c r="T5" s="4"/>
      <c r="U5" s="4">
        <f>R5</f>
        <v>-212500</v>
      </c>
      <c r="V5" s="4"/>
      <c r="W5" s="4">
        <f>-L5</f>
        <v>-212500</v>
      </c>
      <c r="X5" s="4"/>
      <c r="Y5" s="4"/>
      <c r="Z5" s="4">
        <f>W5</f>
        <v>-212500</v>
      </c>
      <c r="AA5" s="4">
        <f>G5+I5+H5+T5-$V$5</f>
        <v>0</v>
      </c>
      <c r="AB5" s="20">
        <f>IF(A5&lt;('2. Inputs and results'!$C$21+1),AA5/L5,NA())</f>
        <v>0</v>
      </c>
      <c r="AC5" s="29">
        <f>C5+Y5-$V$5</f>
        <v>0</v>
      </c>
      <c r="AD5" s="20">
        <f>IF(A5&lt;('2. Inputs and results'!$C$21+1),AC5/L5,NA())</f>
        <v>0</v>
      </c>
      <c r="AE5">
        <f>IF(A5&lt;('2. Inputs and results'!$C$21+1),-'2. Inputs and results'!$C$121*A5," ")</f>
        <v>0</v>
      </c>
      <c r="AF5">
        <f>IF(A5&lt;('2. Inputs and results'!$C$21+1),AE5/1000,NA())</f>
        <v>0</v>
      </c>
    </row>
    <row r="6" spans="1:32" x14ac:dyDescent="0.25">
      <c r="A6">
        <f>A5+1</f>
        <v>1</v>
      </c>
      <c r="B6">
        <f>IF(A6&lt;('2. Inputs and results'!$C$21+1),A6," ")</f>
        <v>1</v>
      </c>
      <c r="C6" s="4">
        <f>IF(A6&lt;('2. Inputs and results'!$C$21+1),'2. Inputs and results'!$C$99+'2. Inputs and results'!$C$101," ")</f>
        <v>24600</v>
      </c>
      <c r="D6" s="4">
        <f>C6</f>
        <v>24600</v>
      </c>
      <c r="E6" s="4">
        <f>IF(A6&lt;('2. Inputs and results'!$C$21+1),C6/((1+$P$2)^A6)," ")</f>
        <v>23653.846153846152</v>
      </c>
      <c r="F6" s="4">
        <f>E6</f>
        <v>23653.846153846152</v>
      </c>
      <c r="G6" s="4">
        <f>'2. Inputs and results'!C93</f>
        <v>45000</v>
      </c>
      <c r="H6" s="4">
        <f>'2. Inputs and results'!C97</f>
        <v>0</v>
      </c>
      <c r="I6" s="4">
        <f>'2. Inputs and results'!C95</f>
        <v>-20400</v>
      </c>
      <c r="J6" s="4">
        <f>'2. Inputs and results'!C101</f>
        <v>0</v>
      </c>
      <c r="K6" s="4">
        <f>G6+I6+H6+J6</f>
        <v>24600</v>
      </c>
      <c r="L6" s="4">
        <f>'2. Inputs and results'!$C$73-('2. Inputs and results'!C77*'2. Inputs and results'!C73)</f>
        <v>212500</v>
      </c>
      <c r="M6" s="4">
        <f>IF(A6&lt;('2. Inputs and results'!$C$21+1),'2. Inputs and results'!$C$75*'2. Inputs and results'!$C$73," ")</f>
        <v>2500</v>
      </c>
      <c r="N6" s="4">
        <f>IF(A6&lt;('2. Inputs and results'!$C$21+1),M6/((1+$P$2)^A6)," ")</f>
        <v>2403.8461538461538</v>
      </c>
      <c r="O6" s="4">
        <f>L6</f>
        <v>212500</v>
      </c>
      <c r="P6" s="4">
        <f>IF(A6&lt;('2. Inputs and results'!$C$21+1),(G6+I6+H6+J6)/((1+$P$2)^A6)," ")</f>
        <v>23653.846153846152</v>
      </c>
      <c r="Q6" s="4">
        <f>P6</f>
        <v>23653.846153846152</v>
      </c>
      <c r="R6" s="4">
        <f>-L6+G6+I6+H6+J6+T6-$V$6</f>
        <v>-194650</v>
      </c>
      <c r="S6" s="4">
        <f>IF(A6&lt;('2. Inputs and results'!$C$21+1),'2. Inputs and results'!$C$79*(R5)," ")</f>
        <v>-4250</v>
      </c>
      <c r="T6" s="4">
        <f>IF(S6&lt;0,S6,0)</f>
        <v>-4250</v>
      </c>
      <c r="U6" s="4">
        <f>IF(A6&lt;('2. Inputs and results'!$C$21+1),U5+(T6+I6+G6+H6+J6-$V$6)/((1+$P$2)^A6),NA())</f>
        <v>-195336.53846153847</v>
      </c>
      <c r="V6" s="4">
        <f>'2. Inputs and results'!$C$75*'2. Inputs and results'!$C$73</f>
        <v>2500</v>
      </c>
      <c r="W6" s="4">
        <f>-L6+C6+Y6-$V$6</f>
        <v>-194650</v>
      </c>
      <c r="X6" s="4">
        <f>IF(A6&lt;('2. Inputs and results'!$C$21+1),'2. Inputs and results'!$C$79*(W5)," ")</f>
        <v>-4250</v>
      </c>
      <c r="Y6" s="4">
        <f>IF(X6&lt;0,X6,0)</f>
        <v>-4250</v>
      </c>
      <c r="Z6" s="4">
        <f>IF(A6&lt;('2. Inputs and results'!$C$21+1),Z5+((C6-$V$6+Y6)/((1+$P$2)^A6)),NA())</f>
        <v>-195336.53846153847</v>
      </c>
      <c r="AA6" s="4">
        <f>IF(A6&lt;('2. Inputs and results'!$C$21+1),AA5+G6+I6+H6+T6-$V$6," ")</f>
        <v>17850</v>
      </c>
      <c r="AB6" s="20">
        <f>IF(A6&lt;('2. Inputs and results'!$C$21+1),AA6/L6,NA())</f>
        <v>8.4000000000000005E-2</v>
      </c>
      <c r="AC6" s="29">
        <f>IF(A6&lt;('2. Inputs and results'!$C$21+1),AC5+C6+Y6-$V$6," ")</f>
        <v>17850</v>
      </c>
      <c r="AD6" s="20">
        <f>IF(A6&lt;('2. Inputs and results'!$C$21+1),AC6/L6,NA())</f>
        <v>8.4000000000000005E-2</v>
      </c>
      <c r="AE6">
        <f>IF(A6&lt;('2. Inputs and results'!$C$21+1),-'2. Inputs and results'!$C$121*A6," ")</f>
        <v>-46000</v>
      </c>
      <c r="AF6">
        <f>IF(A6&lt;('2. Inputs and results'!$C$21+1),AE6/1000,NA())</f>
        <v>-46</v>
      </c>
    </row>
    <row r="7" spans="1:32" x14ac:dyDescent="0.25">
      <c r="A7">
        <f t="shared" ref="A7:A55" si="0">A6+1</f>
        <v>2</v>
      </c>
      <c r="B7">
        <f>IF(A7&lt;('2. Inputs and results'!$C$21+1),A7," ")</f>
        <v>2</v>
      </c>
      <c r="C7" s="4">
        <f>IF(A7&lt;('2. Inputs and results'!$C$21+1),'2. Inputs and results'!$C$99+'2. Inputs and results'!$C$101," ")</f>
        <v>24600</v>
      </c>
      <c r="D7" s="4">
        <f>IF(A7&lt;('2. Inputs and results'!$C$21+1),D6+C7,NA())</f>
        <v>49200</v>
      </c>
      <c r="E7" s="4">
        <f>IF(A7&lt;('2. Inputs and results'!$C$21+1),C7/((1+$P$2)^A7)," ")</f>
        <v>22744.082840236682</v>
      </c>
      <c r="F7" s="4">
        <f>IF(B7&lt;('2. Inputs and results'!$C$21+1),F6+E7," ")</f>
        <v>46397.928994082831</v>
      </c>
      <c r="G7" s="4">
        <f>IF(A7&lt;('2. Inputs and results'!$C$21+1),G6*(1+'2. Inputs and results'!$C$46)," ")</f>
        <v>47700</v>
      </c>
      <c r="H7" s="4">
        <f>IF(A7&lt;('2. Inputs and results'!$C$21+1),H6*(1+'2. Inputs and results'!$C$58)," ")</f>
        <v>0</v>
      </c>
      <c r="I7" s="4">
        <f>IF(A7&lt;('2. Inputs and results'!$C$21+1),I6*(1+'2. Inputs and results'!$C$34)," ")</f>
        <v>-21624</v>
      </c>
      <c r="J7" s="4">
        <f>IF(A7&lt;('2. Inputs and results'!$C$21+1),J6*(1+'2. Inputs and results'!$C$68)," ")</f>
        <v>0</v>
      </c>
      <c r="K7" s="4">
        <f>IF(A7&lt;('2. Inputs and results'!$C$21+1),K6+(G7+I7+H7+J7),NA())</f>
        <v>50676</v>
      </c>
      <c r="L7" s="4">
        <f>IF(A7&lt;('2. Inputs and results'!$C$21+1),L6,NA())</f>
        <v>212500</v>
      </c>
      <c r="M7" s="4">
        <f>IF(A7&lt;('2. Inputs and results'!$C$21+1),'2. Inputs and results'!$C$75*'2. Inputs and results'!$C$73," ")</f>
        <v>2500</v>
      </c>
      <c r="N7" s="4">
        <f>IF(A7&lt;('2. Inputs and results'!$C$21+1),M7/((1+$P$2)^A7)," ")</f>
        <v>2311.3905325443784</v>
      </c>
      <c r="O7" s="4">
        <f>IF(A7&lt;('2. Inputs and results'!$C$21+1),'2. Inputs and results'!$C$73*'2. Inputs and results'!$C$75+O6," ")</f>
        <v>215000</v>
      </c>
      <c r="P7" s="4">
        <f>IF(A7&lt;('2. Inputs and results'!$C$21+1),(G7+I7+H7+J7)/((1+$P$2)^A7)," ")</f>
        <v>24108.727810650886</v>
      </c>
      <c r="Q7" s="4">
        <f>IF(A7&lt;('2. Inputs and results'!$C$21+1),Q6+P7," ")</f>
        <v>47762.573964497038</v>
      </c>
      <c r="R7" s="4">
        <f>IF(A7&lt;('2. Inputs and results'!$C$21+1),R6+G7+I7+H7+J7+T7-$V$6,NA())</f>
        <v>-174967</v>
      </c>
      <c r="S7" s="4">
        <f>IF(A7&lt;('2. Inputs and results'!$C$21+1),'2. Inputs and results'!$C$79*(R6)," ")</f>
        <v>-3893</v>
      </c>
      <c r="T7" s="4">
        <f t="shared" ref="T7:T55" si="1">IF(S7&lt;0,S7,0)</f>
        <v>-3893</v>
      </c>
      <c r="U7" s="4">
        <f>IF(A7&lt;('2. Inputs and results'!$C$21+1),U6+((G7+I7+H7+J7-$V$6+T7)/((1+$P$2)^A7)),NA())</f>
        <v>-177138.49852071007</v>
      </c>
      <c r="V7" s="4">
        <f>IF(A7&lt;('2. Inputs and results'!$C$21+1),V6+('2. Inputs and results'!$C$75*'2. Inputs and results'!$C$73)," ")</f>
        <v>5000</v>
      </c>
      <c r="W7" s="4">
        <f>IF(A7&lt;('2. Inputs and results'!$C$21+1),W6+C7+Y7-$V$6,NA())</f>
        <v>-176443</v>
      </c>
      <c r="X7" s="4">
        <f>IF(A7&lt;('2. Inputs and results'!$C$21+1),'2. Inputs and results'!$C$79*(W6)," ")</f>
        <v>-3893</v>
      </c>
      <c r="Y7" s="4">
        <f t="shared" ref="Y7:Y55" si="2">IF(X7&lt;0,X7,0)</f>
        <v>-3893</v>
      </c>
      <c r="Z7" s="4">
        <f>IF(A7&lt;('2. Inputs and results'!$C$21+1),Z6+((C7-$V$6+Y7)/((1+$P$2)^A7)),NA())</f>
        <v>-178503.14349112427</v>
      </c>
      <c r="AA7" s="4">
        <f>IF(A7&lt;('2. Inputs and results'!$C$21+1),AA6+G7+I7+H7+T7-$V$6," ")</f>
        <v>37533</v>
      </c>
      <c r="AB7" s="20">
        <f>IF(A7&lt;('2. Inputs and results'!$C$21+1),AA7/L7,NA())</f>
        <v>0.17662588235294119</v>
      </c>
      <c r="AC7" s="29">
        <f>IF(A7&lt;('2. Inputs and results'!$C$21+1),AC6+C7+Y7-$V$6," ")</f>
        <v>36057</v>
      </c>
      <c r="AD7" s="20">
        <f>IF(A7&lt;('2. Inputs and results'!$C$21+1),AC7/L7,NA())</f>
        <v>0.16968</v>
      </c>
      <c r="AE7">
        <f>IF(A7&lt;('2. Inputs and results'!$C$21+1),-'2. Inputs and results'!$C$121*A7," ")</f>
        <v>-92000</v>
      </c>
      <c r="AF7">
        <f>IF(A7&lt;('2. Inputs and results'!$C$21+1),AE7/1000,NA())</f>
        <v>-92</v>
      </c>
    </row>
    <row r="8" spans="1:32" x14ac:dyDescent="0.25">
      <c r="A8">
        <f t="shared" si="0"/>
        <v>3</v>
      </c>
      <c r="B8">
        <f>IF(A8&lt;('2. Inputs and results'!$C$21+1),A8," ")</f>
        <v>3</v>
      </c>
      <c r="C8" s="4">
        <f>IF(A8&lt;('2. Inputs and results'!$C$21+1),'2. Inputs and results'!$C$99+'2. Inputs and results'!$C$101," ")</f>
        <v>24600</v>
      </c>
      <c r="D8" s="4">
        <f>IF(A8&lt;('2. Inputs and results'!$C$21+1),D7+C8,NA())</f>
        <v>73800</v>
      </c>
      <c r="E8" s="4">
        <f>IF(A8&lt;('2. Inputs and results'!$C$21+1),C8/((1+$P$2)^A8)," ")</f>
        <v>21869.310423304505</v>
      </c>
      <c r="F8" s="4">
        <f>IF(B8&lt;('2. Inputs and results'!$C$21+1),F7+E8," ")</f>
        <v>68267.239417387333</v>
      </c>
      <c r="G8" s="4">
        <f>IF(A8&lt;('2. Inputs and results'!$C$21+1),G7*(1+'2. Inputs and results'!$C$46)," ")</f>
        <v>50562</v>
      </c>
      <c r="H8" s="4">
        <f>IF(A8&lt;('2. Inputs and results'!$C$21+1),H7*(1+'2. Inputs and results'!$C$58)," ")</f>
        <v>0</v>
      </c>
      <c r="I8" s="4">
        <f>IF(A8&lt;('2. Inputs and results'!$C$21+1),I7*(1+'2. Inputs and results'!$C$34)," ")</f>
        <v>-22921.440000000002</v>
      </c>
      <c r="J8" s="4">
        <f>IF(A8&lt;('2. Inputs and results'!$C$21+1),J7*(1+'2. Inputs and results'!$C$68)," ")</f>
        <v>0</v>
      </c>
      <c r="K8" s="4">
        <f>IF(A8&lt;('2. Inputs and results'!$C$21+1),K7+(G8+I8+H8+J8),NA())</f>
        <v>78316.56</v>
      </c>
      <c r="L8" s="4">
        <f>IF(A8&lt;('2. Inputs and results'!$C$21+1),L7,NA())</f>
        <v>212500</v>
      </c>
      <c r="M8" s="4">
        <f>IF(A8&lt;('2. Inputs and results'!$C$21+1),'2. Inputs and results'!$C$75*'2. Inputs and results'!$C$73," ")</f>
        <v>2500</v>
      </c>
      <c r="N8" s="4">
        <f>IF(A8&lt;('2. Inputs and results'!$C$21+1),M8/((1+$P$2)^A8)," ")</f>
        <v>2222.4908966772869</v>
      </c>
      <c r="O8" s="4">
        <f>IF(A8&lt;('2. Inputs and results'!$C$21+1),'2. Inputs and results'!$C$73*'2. Inputs and results'!$C$75+O7," ")</f>
        <v>217500</v>
      </c>
      <c r="P8" s="4">
        <f>IF(A8&lt;('2. Inputs and results'!$C$21+1),(G8+I8+H8+J8)/((1+$P$2)^A8)," ")</f>
        <v>24572.357191624938</v>
      </c>
      <c r="Q8" s="4">
        <f>IF(A8&lt;('2. Inputs and results'!$C$21+1),Q7+P8," ")</f>
        <v>72334.93115612198</v>
      </c>
      <c r="R8" s="4">
        <f>IF(A8&lt;('2. Inputs and results'!$C$21+1),R7+G8+I8+H8+J8+T8-$V$6,NA())</f>
        <v>-153325.78</v>
      </c>
      <c r="S8" s="4">
        <f>IF(A8&lt;('2. Inputs and results'!$C$21+1),'2. Inputs and results'!$C$79*(R7)," ")</f>
        <v>-3499.34</v>
      </c>
      <c r="T8" s="4">
        <f t="shared" si="1"/>
        <v>-3499.34</v>
      </c>
      <c r="U8" s="4">
        <f>IF(A8&lt;('2. Inputs and results'!$C$21+1),U7+((G8+I8+H8+J8-$V$6+T8)/((1+$P$2)^A8)),NA())</f>
        <v>-157899.5327435139</v>
      </c>
      <c r="V8" s="4">
        <f>IF(A8&lt;('2. Inputs and results'!$C$21+1),V7+('2. Inputs and results'!$C$75*'2. Inputs and results'!$C$73)," ")</f>
        <v>7500</v>
      </c>
      <c r="W8" s="4">
        <f>IF(A8&lt;('2. Inputs and results'!$C$21+1),W7+C8+Y8-$V$6,NA())</f>
        <v>-157871.85999999999</v>
      </c>
      <c r="X8" s="4">
        <f>IF(A8&lt;('2. Inputs and results'!$C$21+1),'2. Inputs and results'!$C$79*(W7)," ")</f>
        <v>-3528.86</v>
      </c>
      <c r="Y8" s="4">
        <f t="shared" si="2"/>
        <v>-3528.86</v>
      </c>
      <c r="Z8" s="4">
        <f>IF(A8&lt;('2. Inputs and results'!$C$21+1),Z7+((C8-$V$6+Y8)/((1+$P$2)^A8)),NA())</f>
        <v>-161993.4676547565</v>
      </c>
      <c r="AA8" s="4">
        <f>IF(A8&lt;('2. Inputs and results'!$C$21+1),AA7+G8+I8+H8+T8-$V$6," ")</f>
        <v>59174.22</v>
      </c>
      <c r="AB8" s="20">
        <f>IF(A8&lt;('2. Inputs and results'!$C$21+1),AA8/L8,NA())</f>
        <v>0.27846691764705883</v>
      </c>
      <c r="AC8" s="29">
        <f>IF(A8&lt;('2. Inputs and results'!$C$21+1),AC7+C8+Y8-$V$6," ")</f>
        <v>54628.14</v>
      </c>
      <c r="AD8" s="20">
        <f>IF(A8&lt;('2. Inputs and results'!$C$21+1),AC8/L8,NA())</f>
        <v>0.25707360000000001</v>
      </c>
      <c r="AE8">
        <f>IF(A8&lt;('2. Inputs and results'!$C$21+1),-'2. Inputs and results'!$C$121*A8," ")</f>
        <v>-138000</v>
      </c>
      <c r="AF8">
        <f>IF(A8&lt;('2. Inputs and results'!$C$21+1),AE8/1000,NA())</f>
        <v>-138</v>
      </c>
    </row>
    <row r="9" spans="1:32" x14ac:dyDescent="0.25">
      <c r="A9">
        <f t="shared" si="0"/>
        <v>4</v>
      </c>
      <c r="B9">
        <f>IF(A9&lt;('2. Inputs and results'!$C$21+1),A9," ")</f>
        <v>4</v>
      </c>
      <c r="C9" s="4">
        <f>IF(A9&lt;('2. Inputs and results'!$C$21+1),'2. Inputs and results'!$C$99+'2. Inputs and results'!$C$101," ")</f>
        <v>24600</v>
      </c>
      <c r="D9" s="4">
        <f>IF(A9&lt;('2. Inputs and results'!$C$21+1),D8+C9,NA())</f>
        <v>98400</v>
      </c>
      <c r="E9" s="4">
        <f>IF(A9&lt;('2. Inputs and results'!$C$21+1),C9/((1+$P$2)^A9)," ")</f>
        <v>21028.183099331251</v>
      </c>
      <c r="F9" s="4">
        <f>IF(B9&lt;('2. Inputs and results'!$C$21+1),F8+E9," ")</f>
        <v>89295.42251671858</v>
      </c>
      <c r="G9" s="4">
        <f>IF(A9&lt;('2. Inputs and results'!$C$21+1),G8*(1+'2. Inputs and results'!$C$46)," ")</f>
        <v>53595.72</v>
      </c>
      <c r="H9" s="4">
        <f>IF(A9&lt;('2. Inputs and results'!$C$21+1),H8*(1+'2. Inputs and results'!$C$58)," ")</f>
        <v>0</v>
      </c>
      <c r="I9" s="4">
        <f>IF(A9&lt;('2. Inputs and results'!$C$21+1),I8*(1+'2. Inputs and results'!$C$34)," ")</f>
        <v>-24296.726400000003</v>
      </c>
      <c r="J9" s="4">
        <f>IF(A9&lt;('2. Inputs and results'!$C$21+1),J8*(1+'2. Inputs and results'!$C$68)," ")</f>
        <v>0</v>
      </c>
      <c r="K9" s="4">
        <f>IF(A9&lt;('2. Inputs and results'!$C$21+1),K8+(G9+I9+H9+J9),NA())</f>
        <v>107615.5536</v>
      </c>
      <c r="L9" s="4">
        <f>IF(A9&lt;('2. Inputs and results'!$C$21+1),L8,NA())</f>
        <v>212500</v>
      </c>
      <c r="M9" s="4">
        <f>IF(A9&lt;('2. Inputs and results'!$C$21+1),'2. Inputs and results'!$C$75*'2. Inputs and results'!$C$73," ")</f>
        <v>2500</v>
      </c>
      <c r="N9" s="4">
        <f>IF(A9&lt;('2. Inputs and results'!$C$21+1),M9/((1+$P$2)^A9)," ")</f>
        <v>2137.0104775743143</v>
      </c>
      <c r="O9" s="4">
        <f>IF(A9&lt;('2. Inputs and results'!$C$21+1),'2. Inputs and results'!$C$73*'2. Inputs and results'!$C$75+O8," ")</f>
        <v>220000</v>
      </c>
      <c r="P9" s="4">
        <f>IF(A9&lt;('2. Inputs and results'!$C$21+1),(G9+I9+H9+J9)/((1+$P$2)^A9)," ")</f>
        <v>25044.902522233107</v>
      </c>
      <c r="Q9" s="4">
        <f>IF(A9&lt;('2. Inputs and results'!$C$21+1),Q8+P9," ")</f>
        <v>97379.833678355091</v>
      </c>
      <c r="R9" s="4">
        <f>IF(A9&lt;('2. Inputs and results'!$C$21+1),R8+G9+I9+H9+J9+T9-$V$6,NA())</f>
        <v>-129593.302</v>
      </c>
      <c r="S9" s="4">
        <f>IF(A9&lt;('2. Inputs and results'!$C$21+1),'2. Inputs and results'!$C$79*(R8)," ")</f>
        <v>-3066.5156000000002</v>
      </c>
      <c r="T9" s="4">
        <f t="shared" si="1"/>
        <v>-3066.5156000000002</v>
      </c>
      <c r="U9" s="4">
        <f>IF(A9&lt;('2. Inputs and results'!$C$21+1),U8+((G9+I9+H9+J9-$V$6+T9)/((1+$P$2)^A9)),NA())</f>
        <v>-137612.91108559314</v>
      </c>
      <c r="V9" s="4">
        <f>IF(A9&lt;('2. Inputs and results'!$C$21+1),V8+('2. Inputs and results'!$C$75*'2. Inputs and results'!$C$73)," ")</f>
        <v>10000</v>
      </c>
      <c r="W9" s="4">
        <f>IF(A9&lt;('2. Inputs and results'!$C$21+1),W8+C9+Y9-$V$6,NA())</f>
        <v>-138929.29719999997</v>
      </c>
      <c r="X9" s="4">
        <f>IF(A9&lt;('2. Inputs and results'!$C$21+1),'2. Inputs and results'!$C$79*(W8)," ")</f>
        <v>-3157.4371999999998</v>
      </c>
      <c r="Y9" s="4">
        <f t="shared" si="2"/>
        <v>-3157.4371999999998</v>
      </c>
      <c r="Z9" s="4">
        <f>IF(A9&lt;('2. Inputs and results'!$C$21+1),Z8+((C9-$V$6+Y9)/((1+$P$2)^A9)),NA())</f>
        <v>-145801.28558447273</v>
      </c>
      <c r="AA9" s="4">
        <f>IF(A9&lt;('2. Inputs and results'!$C$21+1),AA8+G9+I9+H9+T9-$V$6," ")</f>
        <v>82906.698000000004</v>
      </c>
      <c r="AB9" s="20">
        <f>IF(A9&lt;('2. Inputs and results'!$C$21+1),AA9/L9,NA())</f>
        <v>0.39014916705882352</v>
      </c>
      <c r="AC9" s="29">
        <f>IF(A9&lt;('2. Inputs and results'!$C$21+1),AC8+C9+Y9-$V$6," ")</f>
        <v>73570.702799999999</v>
      </c>
      <c r="AD9" s="20">
        <f>IF(A9&lt;('2. Inputs and results'!$C$21+1),AC9/L9,NA())</f>
        <v>0.34621507200000001</v>
      </c>
      <c r="AE9">
        <f>IF(A9&lt;('2. Inputs and results'!$C$21+1),-'2. Inputs and results'!$C$121*A9," ")</f>
        <v>-184000</v>
      </c>
      <c r="AF9">
        <f>IF(A9&lt;('2. Inputs and results'!$C$21+1),AE9/1000,NA())</f>
        <v>-184</v>
      </c>
    </row>
    <row r="10" spans="1:32" x14ac:dyDescent="0.25">
      <c r="A10">
        <f t="shared" si="0"/>
        <v>5</v>
      </c>
      <c r="B10">
        <f>IF(A10&lt;('2. Inputs and results'!$C$21+1),A10," ")</f>
        <v>5</v>
      </c>
      <c r="C10" s="4">
        <f>IF(A10&lt;('2. Inputs and results'!$C$21+1),'2. Inputs and results'!$C$99+'2. Inputs and results'!$C$101," ")</f>
        <v>24600</v>
      </c>
      <c r="D10" s="4">
        <f>IF(A10&lt;('2. Inputs and results'!$C$21+1),D9+C10,NA())</f>
        <v>123000</v>
      </c>
      <c r="E10" s="4">
        <f>IF(A10&lt;('2. Inputs and results'!$C$21+1),C10/((1+$P$2)^A10)," ")</f>
        <v>20219.406826280047</v>
      </c>
      <c r="F10" s="4">
        <f>IF(B10&lt;('2. Inputs and results'!$C$21+1),F9+E10," ")</f>
        <v>109514.82934299862</v>
      </c>
      <c r="G10" s="4">
        <f>IF(A10&lt;('2. Inputs and results'!$C$21+1),G9*(1+'2. Inputs and results'!$C$46)," ")</f>
        <v>56811.463200000006</v>
      </c>
      <c r="H10" s="4">
        <f>IF(A10&lt;('2. Inputs and results'!$C$21+1),H9*(1+'2. Inputs and results'!$C$58)," ")</f>
        <v>0</v>
      </c>
      <c r="I10" s="4">
        <f>IF(A10&lt;('2. Inputs and results'!$C$21+1),I9*(1+'2. Inputs and results'!$C$34)," ")</f>
        <v>-25754.529984000004</v>
      </c>
      <c r="J10" s="4">
        <f>IF(A10&lt;('2. Inputs and results'!$C$21+1),J9*(1+'2. Inputs and results'!$C$68)," ")</f>
        <v>0</v>
      </c>
      <c r="K10" s="4">
        <f>IF(A10&lt;('2. Inputs and results'!$C$21+1),K9+(G10+I10+H10+J10),NA())</f>
        <v>138672.48681599999</v>
      </c>
      <c r="L10" s="4">
        <f>IF(A10&lt;('2. Inputs and results'!$C$21+1),L9,NA())</f>
        <v>212500</v>
      </c>
      <c r="M10" s="4">
        <f>IF(A10&lt;('2. Inputs and results'!$C$21+1),'2. Inputs and results'!$C$75*'2. Inputs and results'!$C$73," ")</f>
        <v>2500</v>
      </c>
      <c r="N10" s="4">
        <f>IF(A10&lt;('2. Inputs and results'!$C$21+1),M10/((1+$P$2)^A10)," ")</f>
        <v>2054.817766898379</v>
      </c>
      <c r="O10" s="4">
        <f>IF(A10&lt;('2. Inputs and results'!$C$21+1),'2. Inputs and results'!$C$73*'2. Inputs and results'!$C$75+O9," ")</f>
        <v>222500</v>
      </c>
      <c r="P10" s="4">
        <f>IF(A10&lt;('2. Inputs and results'!$C$21+1),(G10+I10+H10+J10)/((1+$P$2)^A10)," ")</f>
        <v>25526.535263045284</v>
      </c>
      <c r="Q10" s="4">
        <f>IF(A10&lt;('2. Inputs and results'!$C$21+1),Q9+P10," ")</f>
        <v>122906.36894140037</v>
      </c>
      <c r="R10" s="4">
        <f>IF(A10&lt;('2. Inputs and results'!$C$21+1),R9+G10+I10+H10+J10+T10-$V$6,NA())</f>
        <v>-103628.234824</v>
      </c>
      <c r="S10" s="4">
        <f>IF(A10&lt;('2. Inputs and results'!$C$21+1),'2. Inputs and results'!$C$79*(R9)," ")</f>
        <v>-2591.8660399999999</v>
      </c>
      <c r="T10" s="4">
        <f t="shared" si="1"/>
        <v>-2591.8660399999999</v>
      </c>
      <c r="U10" s="4">
        <f>IF(A10&lt;('2. Inputs and results'!$C$21+1),U9+((G10+I10+H10+J10-$V$6+T10)/((1+$P$2)^A10)),NA())</f>
        <v>-116271.51854481125</v>
      </c>
      <c r="V10" s="4">
        <f>IF(A10&lt;('2. Inputs and results'!$C$21+1),V9+('2. Inputs and results'!$C$75*'2. Inputs and results'!$C$73)," ")</f>
        <v>12500</v>
      </c>
      <c r="W10" s="4">
        <f>IF(A10&lt;('2. Inputs and results'!$C$21+1),W9+C10+Y10-$V$6,NA())</f>
        <v>-119607.88314399998</v>
      </c>
      <c r="X10" s="4">
        <f>IF(A10&lt;('2. Inputs and results'!$C$21+1),'2. Inputs and results'!$C$79*(W9)," ")</f>
        <v>-2778.5859439999995</v>
      </c>
      <c r="Y10" s="4">
        <f t="shared" si="2"/>
        <v>-2778.5859439999995</v>
      </c>
      <c r="Z10" s="4">
        <f>IF(A10&lt;('2. Inputs and results'!$C$21+1),Z9+((C10-$V$6+Y10)/((1+$P$2)^A10)),NA())</f>
        <v>-129920.49163092519</v>
      </c>
      <c r="AA10" s="4">
        <f>IF(A10&lt;('2. Inputs and results'!$C$21+1),AA9+G10+I10+H10+T10-$V$6," ")</f>
        <v>108871.765176</v>
      </c>
      <c r="AB10" s="20">
        <f>IF(A10&lt;('2. Inputs and results'!$C$21+1),AA10/L10,NA())</f>
        <v>0.51233771847529408</v>
      </c>
      <c r="AC10" s="29">
        <f>IF(A10&lt;('2. Inputs and results'!$C$21+1),AC9+C10+Y10-$V$6," ")</f>
        <v>92892.116855999993</v>
      </c>
      <c r="AD10" s="20">
        <f>IF(A10&lt;('2. Inputs and results'!$C$21+1),AC10/L10,NA())</f>
        <v>0.43713937343999998</v>
      </c>
      <c r="AE10">
        <f>IF(A10&lt;('2. Inputs and results'!$C$21+1),-'2. Inputs and results'!$C$121*A10," ")</f>
        <v>-230000</v>
      </c>
      <c r="AF10">
        <f>IF(A10&lt;('2. Inputs and results'!$C$21+1),AE10/1000,NA())</f>
        <v>-230</v>
      </c>
    </row>
    <row r="11" spans="1:32" x14ac:dyDescent="0.25">
      <c r="A11">
        <f t="shared" si="0"/>
        <v>6</v>
      </c>
      <c r="B11">
        <f>IF(A11&lt;('2. Inputs and results'!$C$21+1),A11," ")</f>
        <v>6</v>
      </c>
      <c r="C11" s="4">
        <f>IF(A11&lt;('2. Inputs and results'!$C$21+1),'2. Inputs and results'!$C$99+'2. Inputs and results'!$C$101," ")</f>
        <v>24600</v>
      </c>
      <c r="D11" s="4">
        <f>IF(A11&lt;('2. Inputs and results'!$C$21+1),D10+C11,NA())</f>
        <v>147600</v>
      </c>
      <c r="E11" s="4">
        <f>IF(A11&lt;('2. Inputs and results'!$C$21+1),C11/((1+$P$2)^A11)," ")</f>
        <v>19441.737332961584</v>
      </c>
      <c r="F11" s="4">
        <f>IF(B11&lt;('2. Inputs and results'!$C$21+1),F10+E11," ")</f>
        <v>128956.5666759602</v>
      </c>
      <c r="G11" s="4">
        <f>IF(A11&lt;('2. Inputs and results'!$C$21+1),G10*(1+'2. Inputs and results'!$C$46)," ")</f>
        <v>60220.15099200001</v>
      </c>
      <c r="H11" s="4">
        <f>IF(A11&lt;('2. Inputs and results'!$C$21+1),H10*(1+'2. Inputs and results'!$C$58)," ")</f>
        <v>0</v>
      </c>
      <c r="I11" s="4">
        <f>IF(A11&lt;('2. Inputs and results'!$C$21+1),I10*(1+'2. Inputs and results'!$C$34)," ")</f>
        <v>-27299.801783040006</v>
      </c>
      <c r="J11" s="4">
        <f>IF(A11&lt;('2. Inputs and results'!$C$21+1),J10*(1+'2. Inputs and results'!$C$68)," ")</f>
        <v>0</v>
      </c>
      <c r="K11" s="4">
        <f>IF(A11&lt;('2. Inputs and results'!$C$21+1),K10+(G11+I11+H11+J11),NA())</f>
        <v>171592.83602495998</v>
      </c>
      <c r="L11" s="4">
        <f>IF(A11&lt;('2. Inputs and results'!$C$21+1),L10,NA())</f>
        <v>212500</v>
      </c>
      <c r="M11" s="4">
        <f>IF(A11&lt;('2. Inputs and results'!$C$21+1),'2. Inputs and results'!$C$75*'2. Inputs and results'!$C$73," ")</f>
        <v>2500</v>
      </c>
      <c r="N11" s="4">
        <f>IF(A11&lt;('2. Inputs and results'!$C$21+1),M11/((1+$P$2)^A11)," ")</f>
        <v>1975.7863143253642</v>
      </c>
      <c r="O11" s="4">
        <f>IF(A11&lt;('2. Inputs and results'!$C$21+1),'2. Inputs and results'!$C$73*'2. Inputs and results'!$C$75+O10," ")</f>
        <v>225000</v>
      </c>
      <c r="P11" s="4">
        <f>IF(A11&lt;('2. Inputs and results'!$C$21+1),(G11+I11+H11+J11)/((1+$P$2)^A11)," ")</f>
        <v>26017.430171950004</v>
      </c>
      <c r="Q11" s="4">
        <f>IF(A11&lt;('2. Inputs and results'!$C$21+1),Q10+P11," ")</f>
        <v>148923.79911335037</v>
      </c>
      <c r="R11" s="4">
        <f>IF(A11&lt;('2. Inputs and results'!$C$21+1),R10+G11+I11+H11+J11+T11-$V$6,NA())</f>
        <v>-75280.450311519991</v>
      </c>
      <c r="S11" s="4">
        <f>IF(A11&lt;('2. Inputs and results'!$C$21+1),'2. Inputs and results'!$C$79*(R10)," ")</f>
        <v>-2072.5646964799998</v>
      </c>
      <c r="T11" s="4">
        <f t="shared" si="1"/>
        <v>-2072.5646964799998</v>
      </c>
      <c r="U11" s="4">
        <f>IF(A11&lt;('2. Inputs and results'!$C$21+1),U10+((G11+I11+H11+J11-$V$6+T11)/((1+$P$2)^A11)),NA())</f>
        <v>-93867.852672330249</v>
      </c>
      <c r="V11" s="4">
        <f>IF(A11&lt;('2. Inputs and results'!$C$21+1),V10+('2. Inputs and results'!$C$75*'2. Inputs and results'!$C$73)," ")</f>
        <v>15000</v>
      </c>
      <c r="W11" s="4">
        <f>IF(A11&lt;('2. Inputs and results'!$C$21+1),W10+C11+Y11-$V$6,NA())</f>
        <v>-99900.040806879973</v>
      </c>
      <c r="X11" s="4">
        <f>IF(A11&lt;('2. Inputs and results'!$C$21+1),'2. Inputs and results'!$C$79*(W10)," ")</f>
        <v>-2392.1576628799994</v>
      </c>
      <c r="Y11" s="4">
        <f t="shared" si="2"/>
        <v>-2392.1576628799994</v>
      </c>
      <c r="Z11" s="4">
        <f>IF(A11&lt;('2. Inputs and results'!$C$21+1),Z10+((C11-$V$6+Y11)/((1+$P$2)^A11)),NA())</f>
        <v>-114345.09756109971</v>
      </c>
      <c r="AA11" s="4">
        <f>IF(A11&lt;('2. Inputs and results'!$C$21+1),AA10+G11+I11+H11+T11-$V$6," ")</f>
        <v>137219.54968848004</v>
      </c>
      <c r="AB11" s="20">
        <f>IF(A11&lt;('2. Inputs and results'!$C$21+1),AA11/L11,NA())</f>
        <v>0.6457390573575531</v>
      </c>
      <c r="AC11" s="29">
        <f>IF(A11&lt;('2. Inputs and results'!$C$21+1),AC10+C11+Y11-$V$6," ")</f>
        <v>112599.95919312</v>
      </c>
      <c r="AD11" s="20">
        <f>IF(A11&lt;('2. Inputs and results'!$C$21+1),AC11/L11,NA())</f>
        <v>0.52988216090880003</v>
      </c>
      <c r="AE11">
        <f>IF(A11&lt;('2. Inputs and results'!$C$21+1),-'2. Inputs and results'!$C$121*A11," ")</f>
        <v>-276000</v>
      </c>
      <c r="AF11">
        <f>IF(A11&lt;('2. Inputs and results'!$C$21+1),AE11/1000,NA())</f>
        <v>-276</v>
      </c>
    </row>
    <row r="12" spans="1:32" x14ac:dyDescent="0.25">
      <c r="A12">
        <f t="shared" si="0"/>
        <v>7</v>
      </c>
      <c r="B12">
        <f>IF(A12&lt;('2. Inputs and results'!$C$21+1),A12," ")</f>
        <v>7</v>
      </c>
      <c r="C12" s="4">
        <f>IF(A12&lt;('2. Inputs and results'!$C$21+1),'2. Inputs and results'!$C$99+'2. Inputs and results'!$C$101," ")</f>
        <v>24600</v>
      </c>
      <c r="D12" s="4">
        <f>IF(A12&lt;('2. Inputs and results'!$C$21+1),D11+C12,NA())</f>
        <v>172200</v>
      </c>
      <c r="E12" s="4">
        <f>IF(A12&lt;('2. Inputs and results'!$C$21+1),C12/((1+$P$2)^A12)," ")</f>
        <v>18693.978204770756</v>
      </c>
      <c r="F12" s="4">
        <f>IF(B12&lt;('2. Inputs and results'!$C$21+1),F11+E12," ")</f>
        <v>147650.54488073097</v>
      </c>
      <c r="G12" s="4">
        <f>IF(A12&lt;('2. Inputs and results'!$C$21+1),G11*(1+'2. Inputs and results'!$C$46)," ")</f>
        <v>63833.360051520016</v>
      </c>
      <c r="H12" s="4">
        <f>IF(A12&lt;('2. Inputs and results'!$C$21+1),H11*(1+'2. Inputs and results'!$C$58)," ")</f>
        <v>0</v>
      </c>
      <c r="I12" s="4">
        <f>IF(A12&lt;('2. Inputs and results'!$C$21+1),I11*(1+'2. Inputs and results'!$C$34)," ")</f>
        <v>-28937.789890022406</v>
      </c>
      <c r="J12" s="4">
        <f>IF(A12&lt;('2. Inputs and results'!$C$21+1),J11*(1+'2. Inputs and results'!$C$68)," ")</f>
        <v>0</v>
      </c>
      <c r="K12" s="4">
        <f>IF(A12&lt;('2. Inputs and results'!$C$21+1),K11+(G12+I12+H12+J12),NA())</f>
        <v>206488.40618645761</v>
      </c>
      <c r="L12" s="4">
        <f>IF(A12&lt;('2. Inputs and results'!$C$21+1),L11,NA())</f>
        <v>212500</v>
      </c>
      <c r="M12" s="4">
        <f>IF(A12&lt;('2. Inputs and results'!$C$21+1),'2. Inputs and results'!$C$75*'2. Inputs and results'!$C$73," ")</f>
        <v>2500</v>
      </c>
      <c r="N12" s="4">
        <f>IF(A12&lt;('2. Inputs and results'!$C$21+1),M12/((1+$P$2)^A12)," ")</f>
        <v>1899.7945330051582</v>
      </c>
      <c r="O12" s="4">
        <f>IF(A12&lt;('2. Inputs and results'!$C$21+1),'2. Inputs and results'!$C$73*'2. Inputs and results'!$C$75+O11," ")</f>
        <v>227500</v>
      </c>
      <c r="P12" s="4">
        <f>IF(A12&lt;('2. Inputs and results'!$C$21+1),(G12+I12+H12+J12)/((1+$P$2)^A12)," ")</f>
        <v>26517.765367564436</v>
      </c>
      <c r="Q12" s="4">
        <f>IF(A12&lt;('2. Inputs and results'!$C$21+1),Q11+P12," ")</f>
        <v>175441.56448091479</v>
      </c>
      <c r="R12" s="4">
        <f>IF(A12&lt;('2. Inputs and results'!$C$21+1),R11+G12+I12+H12+J12+T12-$V$6,NA())</f>
        <v>-44390.489156252777</v>
      </c>
      <c r="S12" s="4">
        <f>IF(A12&lt;('2. Inputs and results'!$C$21+1),'2. Inputs and results'!$C$79*(R11)," ")</f>
        <v>-1505.6090062303999</v>
      </c>
      <c r="T12" s="4">
        <f t="shared" si="1"/>
        <v>-1505.6090062303999</v>
      </c>
      <c r="U12" s="4">
        <f>IF(A12&lt;('2. Inputs and results'!$C$21+1),U11+((G12+I12+H12+J12-$V$6+T12)/((1+$P$2)^A12)),NA())</f>
        <v>-70394.020941322902</v>
      </c>
      <c r="V12" s="4">
        <f>IF(A12&lt;('2. Inputs and results'!$C$21+1),V11+('2. Inputs and results'!$C$75*'2. Inputs and results'!$C$73)," ")</f>
        <v>17500</v>
      </c>
      <c r="W12" s="4">
        <f>IF(A12&lt;('2. Inputs and results'!$C$21+1),W11+C12+Y12-$V$6,NA())</f>
        <v>-79798.041623017576</v>
      </c>
      <c r="X12" s="4">
        <f>IF(A12&lt;('2. Inputs and results'!$C$21+1),'2. Inputs and results'!$C$79*(W11)," ")</f>
        <v>-1998.0008161375995</v>
      </c>
      <c r="Y12" s="4">
        <f t="shared" si="2"/>
        <v>-1998.0008161375995</v>
      </c>
      <c r="Z12" s="4">
        <f>IF(A12&lt;('2. Inputs and results'!$C$21+1),Z11+((C12-$V$6+Y12)/((1+$P$2)^A12)),NA())</f>
        <v>-99069.23030030934</v>
      </c>
      <c r="AA12" s="4">
        <f>IF(A12&lt;('2. Inputs and results'!$C$21+1),AA11+G12+I12+H12+T12-$V$6," ")</f>
        <v>168109.51084374727</v>
      </c>
      <c r="AB12" s="20">
        <f>IF(A12&lt;('2. Inputs and results'!$C$21+1),AA12/L12,NA())</f>
        <v>0.79110358044116358</v>
      </c>
      <c r="AC12" s="29">
        <f>IF(A12&lt;('2. Inputs and results'!$C$21+1),AC11+C12+Y12-$V$6," ")</f>
        <v>132701.95837698242</v>
      </c>
      <c r="AD12" s="20">
        <f>IF(A12&lt;('2. Inputs and results'!$C$21+1),AC12/L12,NA())</f>
        <v>0.62447980412697612</v>
      </c>
      <c r="AE12">
        <f>IF(A12&lt;('2. Inputs and results'!$C$21+1),-'2. Inputs and results'!$C$121*A12," ")</f>
        <v>-322000</v>
      </c>
      <c r="AF12">
        <f>IF(A12&lt;('2. Inputs and results'!$C$21+1),AE12/1000,NA())</f>
        <v>-322</v>
      </c>
    </row>
    <row r="13" spans="1:32" x14ac:dyDescent="0.25">
      <c r="A13">
        <f t="shared" si="0"/>
        <v>8</v>
      </c>
      <c r="B13">
        <f>IF(A13&lt;('2. Inputs and results'!$C$21+1),A13," ")</f>
        <v>8</v>
      </c>
      <c r="C13" s="4">
        <f>IF(A13&lt;('2. Inputs and results'!$C$21+1),'2. Inputs and results'!$C$99+'2. Inputs and results'!$C$101," ")</f>
        <v>24600</v>
      </c>
      <c r="D13" s="4">
        <f>IF(A13&lt;('2. Inputs and results'!$C$21+1),D12+C13,NA())</f>
        <v>196800</v>
      </c>
      <c r="E13" s="4">
        <f>IF(A13&lt;('2. Inputs and results'!$C$21+1),C13/((1+$P$2)^A13)," ")</f>
        <v>17974.979043048799</v>
      </c>
      <c r="F13" s="4">
        <f>IF(B13&lt;('2. Inputs and results'!$C$21+1),F12+E13," ")</f>
        <v>165625.52392377978</v>
      </c>
      <c r="G13" s="4">
        <f>IF(A13&lt;('2. Inputs and results'!$C$21+1),G12*(1+'2. Inputs and results'!$C$46)," ")</f>
        <v>67663.361654611217</v>
      </c>
      <c r="H13" s="4">
        <f>IF(A13&lt;('2. Inputs and results'!$C$21+1),H12*(1+'2. Inputs and results'!$C$58)," ")</f>
        <v>0</v>
      </c>
      <c r="I13" s="4">
        <f>IF(A13&lt;('2. Inputs and results'!$C$21+1),I12*(1+'2. Inputs and results'!$C$34)," ")</f>
        <v>-30674.057283423754</v>
      </c>
      <c r="J13" s="4">
        <f>IF(A13&lt;('2. Inputs and results'!$C$21+1),J12*(1+'2. Inputs and results'!$C$68)," ")</f>
        <v>0</v>
      </c>
      <c r="K13" s="4">
        <f>IF(A13&lt;('2. Inputs and results'!$C$21+1),K12+(G13+I13+H13+J13),NA())</f>
        <v>243477.71055764507</v>
      </c>
      <c r="L13" s="4">
        <f>IF(A13&lt;('2. Inputs and results'!$C$21+1),L12,NA())</f>
        <v>212500</v>
      </c>
      <c r="M13" s="4">
        <f>IF(A13&lt;('2. Inputs and results'!$C$21+1),'2. Inputs and results'!$C$75*'2. Inputs and results'!$C$73," ")</f>
        <v>2500</v>
      </c>
      <c r="N13" s="4">
        <f>IF(A13&lt;('2. Inputs and results'!$C$21+1),M13/((1+$P$2)^A13)," ")</f>
        <v>1826.7255125049594</v>
      </c>
      <c r="O13" s="4">
        <f>IF(A13&lt;('2. Inputs and results'!$C$21+1),'2. Inputs and results'!$C$73*'2. Inputs and results'!$C$75+O12," ")</f>
        <v>230000</v>
      </c>
      <c r="P13" s="4">
        <f>IF(A13&lt;('2. Inputs and results'!$C$21+1),(G13+I13+H13+J13)/((1+$P$2)^A13)," ")</f>
        <v>27027.722393863743</v>
      </c>
      <c r="Q13" s="4">
        <f>IF(A13&lt;('2. Inputs and results'!$C$21+1),Q12+P13," ")</f>
        <v>202469.28687477854</v>
      </c>
      <c r="R13" s="4">
        <f>IF(A13&lt;('2. Inputs and results'!$C$21+1),R12+G13+I13+H13+J13+T13-$V$6,NA())</f>
        <v>-10788.99456819037</v>
      </c>
      <c r="S13" s="4">
        <f>IF(A13&lt;('2. Inputs and results'!$C$21+1),'2. Inputs and results'!$C$79*(R12)," ")</f>
        <v>-887.80978312505556</v>
      </c>
      <c r="T13" s="4">
        <f t="shared" si="1"/>
        <v>-887.80978312505556</v>
      </c>
      <c r="U13" s="4">
        <f>IF(A13&lt;('2. Inputs and results'!$C$21+1),U12+((G13+I13+H13+J13-$V$6+T13)/((1+$P$2)^A13)),NA())</f>
        <v>-45841.737972398536</v>
      </c>
      <c r="V13" s="4">
        <f>IF(A13&lt;('2. Inputs and results'!$C$21+1),V12+('2. Inputs and results'!$C$75*'2. Inputs and results'!$C$73)," ")</f>
        <v>20000</v>
      </c>
      <c r="W13" s="4">
        <f>IF(A13&lt;('2. Inputs and results'!$C$21+1),W12+C13+Y13-$V$6,NA())</f>
        <v>-59294.00245547793</v>
      </c>
      <c r="X13" s="4">
        <f>IF(A13&lt;('2. Inputs and results'!$C$21+1),'2. Inputs and results'!$C$79*(W12)," ")</f>
        <v>-1595.9608324603516</v>
      </c>
      <c r="Y13" s="4">
        <f t="shared" si="2"/>
        <v>-1595.9608324603516</v>
      </c>
      <c r="Z13" s="4">
        <f>IF(A13&lt;('2. Inputs and results'!$C$21+1),Z12+((C13-$V$6+Y13)/((1+$P$2)^A13)),NA())</f>
        <v>-84087.129717611097</v>
      </c>
      <c r="AA13" s="4">
        <f>IF(A13&lt;('2. Inputs and results'!$C$21+1),AA12+G13+I13+H13+T13-$V$6," ")</f>
        <v>201711.00543180967</v>
      </c>
      <c r="AB13" s="20">
        <f>IF(A13&lt;('2. Inputs and results'!$C$21+1),AA13/L13,NA())</f>
        <v>0.94922826085557488</v>
      </c>
      <c r="AC13" s="29">
        <f>IF(A13&lt;('2. Inputs and results'!$C$21+1),AC12+C13+Y13-$V$6," ")</f>
        <v>153205.99754452208</v>
      </c>
      <c r="AD13" s="20">
        <f>IF(A13&lt;('2. Inputs and results'!$C$21+1),AC13/L13,NA())</f>
        <v>0.72096940020951561</v>
      </c>
      <c r="AE13">
        <f>IF(A13&lt;('2. Inputs and results'!$C$21+1),-'2. Inputs and results'!$C$121*A13," ")</f>
        <v>-368000</v>
      </c>
      <c r="AF13">
        <f>IF(A13&lt;('2. Inputs and results'!$C$21+1),AE13/1000,NA())</f>
        <v>-368</v>
      </c>
    </row>
    <row r="14" spans="1:32" x14ac:dyDescent="0.25">
      <c r="A14">
        <f t="shared" si="0"/>
        <v>9</v>
      </c>
      <c r="B14">
        <f>IF(A14&lt;('2. Inputs and results'!$C$21+1),A14," ")</f>
        <v>9</v>
      </c>
      <c r="C14" s="4">
        <f>IF(A14&lt;('2. Inputs and results'!$C$21+1),'2. Inputs and results'!$C$99+'2. Inputs and results'!$C$101," ")</f>
        <v>24600</v>
      </c>
      <c r="D14" s="4">
        <f>IF(A14&lt;('2. Inputs and results'!$C$21+1),D13+C14,NA())</f>
        <v>221400</v>
      </c>
      <c r="E14" s="4">
        <f>IF(A14&lt;('2. Inputs and results'!$C$21+1),C14/((1+$P$2)^A14)," ")</f>
        <v>17283.63369523923</v>
      </c>
      <c r="F14" s="4">
        <f>IF(B14&lt;('2. Inputs and results'!$C$21+1),F13+E14," ")</f>
        <v>182909.15761901901</v>
      </c>
      <c r="G14" s="4">
        <f>IF(A14&lt;('2. Inputs and results'!$C$21+1),G13*(1+'2. Inputs and results'!$C$46)," ")</f>
        <v>71723.163353887896</v>
      </c>
      <c r="H14" s="4">
        <f>IF(A14&lt;('2. Inputs and results'!$C$21+1),H13*(1+'2. Inputs and results'!$C$58)," ")</f>
        <v>0</v>
      </c>
      <c r="I14" s="4">
        <f>IF(A14&lt;('2. Inputs and results'!$C$21+1),I13*(1+'2. Inputs and results'!$C$34)," ")</f>
        <v>-32514.50072042918</v>
      </c>
      <c r="J14" s="4">
        <f>IF(A14&lt;('2. Inputs and results'!$C$21+1),J13*(1+'2. Inputs and results'!$C$68)," ")</f>
        <v>0</v>
      </c>
      <c r="K14" s="4">
        <f>IF(A14&lt;('2. Inputs and results'!$C$21+1),K13+(G14+I14+H14+J14),NA())</f>
        <v>282686.3731911038</v>
      </c>
      <c r="L14" s="4">
        <f>IF(A14&lt;('2. Inputs and results'!$C$21+1),L13,NA())</f>
        <v>212500</v>
      </c>
      <c r="M14" s="4">
        <f>IF(A14&lt;('2. Inputs and results'!$C$21+1),'2. Inputs and results'!$C$75*'2. Inputs and results'!$C$73," ")</f>
        <v>2500</v>
      </c>
      <c r="N14" s="4">
        <f>IF(A14&lt;('2. Inputs and results'!$C$21+1),M14/((1+$P$2)^A14)," ")</f>
        <v>1756.4668389470762</v>
      </c>
      <c r="O14" s="4">
        <f>IF(A14&lt;('2. Inputs and results'!$C$21+1),'2. Inputs and results'!$C$73*'2. Inputs and results'!$C$75+O13," ")</f>
        <v>232500</v>
      </c>
      <c r="P14" s="4">
        <f>IF(A14&lt;('2. Inputs and results'!$C$21+1),(G14+I14+H14+J14)/((1+$P$2)^A14)," ")</f>
        <v>27547.486286053434</v>
      </c>
      <c r="Q14" s="4">
        <f>IF(A14&lt;('2. Inputs and results'!$C$21+1),Q13+P14," ")</f>
        <v>230016.77316083197</v>
      </c>
      <c r="R14" s="4">
        <f>IF(A14&lt;('2. Inputs and results'!$C$21+1),R13+G14+I14+H14+J14+T14-$V$6,NA())</f>
        <v>25703.888173904539</v>
      </c>
      <c r="S14" s="4">
        <f>IF(A14&lt;('2. Inputs and results'!$C$21+1),'2. Inputs and results'!$C$79*(R13)," ")</f>
        <v>-215.77989136380739</v>
      </c>
      <c r="T14" s="4">
        <f t="shared" si="1"/>
        <v>-215.77989136380739</v>
      </c>
      <c r="U14" s="4">
        <f>IF(A14&lt;('2. Inputs and results'!$C$21+1),U13+((G14+I14+H14+J14-$V$6+T14)/((1+$P$2)^A14)),NA())</f>
        <v>-20202.322614769033</v>
      </c>
      <c r="V14" s="4">
        <f>IF(A14&lt;('2. Inputs and results'!$C$21+1),V13+('2. Inputs and results'!$C$75*'2. Inputs and results'!$C$73)," ")</f>
        <v>22500</v>
      </c>
      <c r="W14" s="4">
        <f>IF(A14&lt;('2. Inputs and results'!$C$21+1),W13+C14+Y14-$V$6,NA())</f>
        <v>-38379.882504587491</v>
      </c>
      <c r="X14" s="4">
        <f>IF(A14&lt;('2. Inputs and results'!$C$21+1),'2. Inputs and results'!$C$79*(W13)," ")</f>
        <v>-1185.8800491095587</v>
      </c>
      <c r="Y14" s="4">
        <f t="shared" si="2"/>
        <v>-1185.8800491095587</v>
      </c>
      <c r="Z14" s="4">
        <f>IF(A14&lt;('2. Inputs and results'!$C$21+1),Z13+((C14-$V$6+Y14)/((1+$P$2)^A14)),NA())</f>
        <v>-69393.146453810885</v>
      </c>
      <c r="AA14" s="4">
        <f>IF(A14&lt;('2. Inputs and results'!$C$21+1),AA13+G14+I14+H14+T14-$V$6," ")</f>
        <v>238203.88817390456</v>
      </c>
      <c r="AB14" s="20">
        <f>IF(A14&lt;('2. Inputs and results'!$C$21+1),AA14/L14,NA())</f>
        <v>1.120959473759551</v>
      </c>
      <c r="AC14" s="29">
        <f>IF(A14&lt;('2. Inputs and results'!$C$21+1),AC13+C14+Y14-$V$6," ")</f>
        <v>174120.11749541253</v>
      </c>
      <c r="AD14" s="20">
        <f>IF(A14&lt;('2. Inputs and results'!$C$21+1),AC14/L14,NA())</f>
        <v>0.81938878821370598</v>
      </c>
      <c r="AE14">
        <f>IF(A14&lt;('2. Inputs and results'!$C$21+1),-'2. Inputs and results'!$C$121*A14," ")</f>
        <v>-414000</v>
      </c>
      <c r="AF14">
        <f>IF(A14&lt;('2. Inputs and results'!$C$21+1),AE14/1000,NA())</f>
        <v>-414</v>
      </c>
    </row>
    <row r="15" spans="1:32" x14ac:dyDescent="0.25">
      <c r="A15">
        <f t="shared" si="0"/>
        <v>10</v>
      </c>
      <c r="B15">
        <f>IF(A15&lt;('2. Inputs and results'!$C$21+1),A15," ")</f>
        <v>10</v>
      </c>
      <c r="C15" s="4">
        <f>IF(A15&lt;('2. Inputs and results'!$C$21+1),'2. Inputs and results'!$C$99+'2. Inputs and results'!$C$101," ")</f>
        <v>24600</v>
      </c>
      <c r="D15" s="4">
        <f>IF(A15&lt;('2. Inputs and results'!$C$21+1),D14+C15,NA())</f>
        <v>246000</v>
      </c>
      <c r="E15" s="4">
        <f>IF(A15&lt;('2. Inputs and results'!$C$21+1),C15/((1+$P$2)^A15)," ")</f>
        <v>16618.878553114646</v>
      </c>
      <c r="F15" s="4">
        <f>IF(B15&lt;('2. Inputs and results'!$C$21+1),F14+E15," ")</f>
        <v>199528.03617213367</v>
      </c>
      <c r="G15" s="4">
        <f>IF(A15&lt;('2. Inputs and results'!$C$21+1),G14*(1+'2. Inputs and results'!$C$46)," ")</f>
        <v>76026.553155121175</v>
      </c>
      <c r="H15" s="4">
        <f>IF(A15&lt;('2. Inputs and results'!$C$21+1),H14*(1+'2. Inputs and results'!$C$58)," ")</f>
        <v>0</v>
      </c>
      <c r="I15" s="4">
        <f>IF(A15&lt;('2. Inputs and results'!$C$21+1),I14*(1+'2. Inputs and results'!$C$34)," ")</f>
        <v>-34465.37076365493</v>
      </c>
      <c r="J15" s="4">
        <f>IF(A15&lt;('2. Inputs and results'!$C$21+1),J14*(1+'2. Inputs and results'!$C$68)," ")</f>
        <v>0</v>
      </c>
      <c r="K15" s="4">
        <f>IF(A15&lt;('2. Inputs and results'!$C$21+1),K14+(G15+I15+H15+J15),NA())</f>
        <v>324247.55558257003</v>
      </c>
      <c r="L15" s="4">
        <f>IF(A15&lt;('2. Inputs and results'!$C$21+1),L14,NA())</f>
        <v>212500</v>
      </c>
      <c r="M15" s="4">
        <f>IF(A15&lt;('2. Inputs and results'!$C$21+1),'2. Inputs and results'!$C$75*'2. Inputs and results'!$C$73," ")</f>
        <v>2500</v>
      </c>
      <c r="N15" s="4">
        <f>IF(A15&lt;('2. Inputs and results'!$C$21+1),M15/((1+$P$2)^A15)," ")</f>
        <v>1688.9104220644963</v>
      </c>
      <c r="O15" s="4">
        <f>IF(A15&lt;('2. Inputs and results'!$C$21+1),'2. Inputs and results'!$C$73*'2. Inputs and results'!$C$75+O14," ")</f>
        <v>235000</v>
      </c>
      <c r="P15" s="4">
        <f>IF(A15&lt;('2. Inputs and results'!$C$21+1),(G15+I15+H15+J15)/((1+$P$2)^A15)," ")</f>
        <v>28077.245637708307</v>
      </c>
      <c r="Q15" s="4">
        <f>IF(A15&lt;('2. Inputs and results'!$C$21+1),Q14+P15," ")</f>
        <v>258094.01879854029</v>
      </c>
      <c r="R15" s="4">
        <f>IF(A15&lt;('2. Inputs and results'!$C$21+1),R14+G15+I15+H15+J15+T15-$V$6,NA())</f>
        <v>64765.070565370785</v>
      </c>
      <c r="S15" s="4">
        <f>IF(A15&lt;('2. Inputs and results'!$C$21+1),'2. Inputs and results'!$C$79*(R14)," ")</f>
        <v>514.07776347809079</v>
      </c>
      <c r="T15" s="4">
        <f t="shared" si="1"/>
        <v>0</v>
      </c>
      <c r="U15" s="4">
        <f>IF(A15&lt;('2. Inputs and results'!$C$21+1),U14+((G15+I15+H15+J15-$V$6+T15)/((1+$P$2)^A15)),NA())</f>
        <v>6186.0126008747793</v>
      </c>
      <c r="V15" s="4">
        <f>IF(A15&lt;('2. Inputs and results'!$C$21+1),V14+('2. Inputs and results'!$C$75*'2. Inputs and results'!$C$73)," ")</f>
        <v>25000</v>
      </c>
      <c r="W15" s="4">
        <f>IF(A15&lt;('2. Inputs and results'!$C$21+1),W14+C15+Y15-$V$6,NA())</f>
        <v>-17047.480154679241</v>
      </c>
      <c r="X15" s="4">
        <f>IF(A15&lt;('2. Inputs and results'!$C$21+1),'2. Inputs and results'!$C$79*(W14)," ")</f>
        <v>-767.59765009174987</v>
      </c>
      <c r="Y15" s="4">
        <f t="shared" si="2"/>
        <v>-767.59765009174987</v>
      </c>
      <c r="Z15" s="4">
        <f>IF(A15&lt;('2. Inputs and results'!$C$21+1),Z14+((C15-$V$6+Y15)/((1+$P$2)^A15)),NA())</f>
        <v>-54981.739791237604</v>
      </c>
      <c r="AA15" s="4">
        <f>IF(A15&lt;('2. Inputs and results'!$C$21+1),AA14+G15+I15+H15+T15-$V$6," ")</f>
        <v>277265.07056537078</v>
      </c>
      <c r="AB15" s="20">
        <f>IF(A15&lt;('2. Inputs and results'!$C$21+1),AA15/L15,NA())</f>
        <v>1.3047768026605684</v>
      </c>
      <c r="AC15" s="29">
        <f>IF(A15&lt;('2. Inputs and results'!$C$21+1),AC14+C15+Y15-$V$6," ")</f>
        <v>195452.51984532078</v>
      </c>
      <c r="AD15" s="20">
        <f>IF(A15&lt;('2. Inputs and results'!$C$21+1),AC15/L15,NA())</f>
        <v>0.91977656397798013</v>
      </c>
      <c r="AE15">
        <f>IF(A15&lt;('2. Inputs and results'!$C$21+1),-'2. Inputs and results'!$C$121*A15," ")</f>
        <v>-460000</v>
      </c>
      <c r="AF15">
        <f>IF(A15&lt;('2. Inputs and results'!$C$21+1),AE15/1000,NA())</f>
        <v>-460</v>
      </c>
    </row>
    <row r="16" spans="1:32" x14ac:dyDescent="0.25">
      <c r="A16">
        <f t="shared" si="0"/>
        <v>11</v>
      </c>
      <c r="B16">
        <f>IF(A16&lt;('2. Inputs and results'!$C$21+1),A16," ")</f>
        <v>11</v>
      </c>
      <c r="C16" s="4">
        <f>IF(A16&lt;('2. Inputs and results'!$C$21+1),'2. Inputs and results'!$C$99+'2. Inputs and results'!$C$101," ")</f>
        <v>24600</v>
      </c>
      <c r="D16" s="4">
        <f>IF(A16&lt;('2. Inputs and results'!$C$21+1),D15+C16,NA())</f>
        <v>270600</v>
      </c>
      <c r="E16" s="4">
        <f>IF(A16&lt;('2. Inputs and results'!$C$21+1),C16/((1+$P$2)^A16)," ")</f>
        <v>15979.690916456389</v>
      </c>
      <c r="F16" s="4">
        <f>IF(B16&lt;('2. Inputs and results'!$C$21+1),F15+E16," ")</f>
        <v>215507.72708859007</v>
      </c>
      <c r="G16" s="4">
        <f>IF(A16&lt;('2. Inputs and results'!$C$21+1),G15*(1+'2. Inputs and results'!$C$46)," ")</f>
        <v>80588.146344428445</v>
      </c>
      <c r="H16" s="4">
        <f>IF(A16&lt;('2. Inputs and results'!$C$21+1),H15*(1+'2. Inputs and results'!$C$58)," ")</f>
        <v>0</v>
      </c>
      <c r="I16" s="4">
        <f>IF(A16&lt;('2. Inputs and results'!$C$21+1),I15*(1+'2. Inputs and results'!$C$34)," ")</f>
        <v>-36533.293009474226</v>
      </c>
      <c r="J16" s="4">
        <f>IF(A16&lt;('2. Inputs and results'!$C$21+1),J15*(1+'2. Inputs and results'!$C$68)," ")</f>
        <v>0</v>
      </c>
      <c r="K16" s="4">
        <f>IF(A16&lt;('2. Inputs and results'!$C$21+1),K15+(G16+I16+H16+J16),NA())</f>
        <v>368302.40891752427</v>
      </c>
      <c r="L16" s="4">
        <f>IF(A16&lt;('2. Inputs and results'!$C$21+1),L15,NA())</f>
        <v>212500</v>
      </c>
      <c r="M16" s="4">
        <f>IF(A16&lt;('2. Inputs and results'!$C$21+1),'2. Inputs and results'!$C$75*'2. Inputs and results'!$C$73," ")</f>
        <v>2500</v>
      </c>
      <c r="N16" s="4">
        <f>IF(A16&lt;('2. Inputs and results'!$C$21+1),M16/((1+$P$2)^A16)," ")</f>
        <v>1623.9523289081696</v>
      </c>
      <c r="O16" s="4">
        <f>IF(A16&lt;('2. Inputs and results'!$C$21+1),'2. Inputs and results'!$C$73*'2. Inputs and results'!$C$75+O15," ")</f>
        <v>237500</v>
      </c>
      <c r="P16" s="4">
        <f>IF(A16&lt;('2. Inputs and results'!$C$21+1),(G16+I16+H16+J16)/((1+$P$2)^A16)," ")</f>
        <v>28617.192669202701</v>
      </c>
      <c r="Q16" s="4">
        <f>IF(A16&lt;('2. Inputs and results'!$C$21+1),Q15+P16," ")</f>
        <v>286711.21146774298</v>
      </c>
      <c r="R16" s="4">
        <f>IF(A16&lt;('2. Inputs and results'!$C$21+1),R15+G16+I16+H16+J16+T16-$V$6,NA())</f>
        <v>106319.923900325</v>
      </c>
      <c r="S16" s="4">
        <f>IF(A16&lt;('2. Inputs and results'!$C$21+1),'2. Inputs and results'!$C$79*(R15)," ")</f>
        <v>1295.3014113074157</v>
      </c>
      <c r="T16" s="4">
        <f t="shared" si="1"/>
        <v>0</v>
      </c>
      <c r="U16" s="4">
        <f>IF(A16&lt;('2. Inputs and results'!$C$21+1),U15+((G16+I16+H16+J16-$V$6+T16)/((1+$P$2)^A16)),NA())</f>
        <v>33179.25294116931</v>
      </c>
      <c r="V16" s="4">
        <f>IF(A16&lt;('2. Inputs and results'!$C$21+1),V15+('2. Inputs and results'!$C$75*'2. Inputs and results'!$C$73)," ")</f>
        <v>27500</v>
      </c>
      <c r="W16" s="4">
        <f>IF(A16&lt;('2. Inputs and results'!$C$21+1),W15+C16+Y16-$V$6,NA())</f>
        <v>4711.5702422271743</v>
      </c>
      <c r="X16" s="4">
        <f>IF(A16&lt;('2. Inputs and results'!$C$21+1),'2. Inputs and results'!$C$79*(W15)," ")</f>
        <v>-340.94960309358481</v>
      </c>
      <c r="Y16" s="4">
        <f t="shared" si="2"/>
        <v>-340.94960309358481</v>
      </c>
      <c r="Z16" s="4">
        <f>IF(A16&lt;('2. Inputs and results'!$C$21+1),Z15+((C16-$V$6+Y16)/((1+$P$2)^A16)),NA())</f>
        <v>-40847.475564483044</v>
      </c>
      <c r="AA16" s="4">
        <f>IF(A16&lt;('2. Inputs and results'!$C$21+1),AA15+G16+I16+H16+T16-$V$6," ")</f>
        <v>318819.92390032503</v>
      </c>
      <c r="AB16" s="20">
        <f>IF(A16&lt;('2. Inputs and results'!$C$21+1),AA16/L16,NA())</f>
        <v>1.5003290536485883</v>
      </c>
      <c r="AC16" s="29">
        <f>IF(A16&lt;('2. Inputs and results'!$C$21+1),AC15+C16+Y16-$V$6," ")</f>
        <v>217211.5702422272</v>
      </c>
      <c r="AD16" s="20">
        <f>IF(A16&lt;('2. Inputs and results'!$C$21+1),AC16/L16,NA())</f>
        <v>1.0221720952575397</v>
      </c>
      <c r="AE16">
        <f>IF(A16&lt;('2. Inputs and results'!$C$21+1),-'2. Inputs and results'!$C$121*A16," ")</f>
        <v>-506000</v>
      </c>
      <c r="AF16">
        <f>IF(A16&lt;('2. Inputs and results'!$C$21+1),AE16/1000,NA())</f>
        <v>-506</v>
      </c>
    </row>
    <row r="17" spans="1:32" x14ac:dyDescent="0.25">
      <c r="A17">
        <f t="shared" si="0"/>
        <v>12</v>
      </c>
      <c r="B17">
        <f>IF(A17&lt;('2. Inputs and results'!$C$21+1),A17," ")</f>
        <v>12</v>
      </c>
      <c r="C17" s="4">
        <f>IF(A17&lt;('2. Inputs and results'!$C$21+1),'2. Inputs and results'!$C$99+'2. Inputs and results'!$C$101," ")</f>
        <v>24600</v>
      </c>
      <c r="D17" s="4">
        <f>IF(A17&lt;('2. Inputs and results'!$C$21+1),D16+C17,NA())</f>
        <v>295200</v>
      </c>
      <c r="E17" s="4">
        <f>IF(A17&lt;('2. Inputs and results'!$C$21+1),C17/((1+$P$2)^A17)," ")</f>
        <v>15365.087419669602</v>
      </c>
      <c r="F17" s="4">
        <f>IF(B17&lt;('2. Inputs and results'!$C$21+1),F16+E17," ")</f>
        <v>230872.81450825967</v>
      </c>
      <c r="G17" s="4">
        <f>IF(A17&lt;('2. Inputs and results'!$C$21+1),G16*(1+'2. Inputs and results'!$C$46)," ")</f>
        <v>85423.435125094155</v>
      </c>
      <c r="H17" s="4">
        <f>IF(A17&lt;('2. Inputs and results'!$C$21+1),H16*(1+'2. Inputs and results'!$C$58)," ")</f>
        <v>0</v>
      </c>
      <c r="I17" s="4">
        <f>IF(A17&lt;('2. Inputs and results'!$C$21+1),I16*(1+'2. Inputs and results'!$C$34)," ")</f>
        <v>-38725.290590042685</v>
      </c>
      <c r="J17" s="4">
        <f>IF(A17&lt;('2. Inputs and results'!$C$21+1),J16*(1+'2. Inputs and results'!$C$68)," ")</f>
        <v>0</v>
      </c>
      <c r="K17" s="4">
        <f>IF(A17&lt;('2. Inputs and results'!$C$21+1),K16+(G17+I17+H17+J17),NA())</f>
        <v>415000.55345257575</v>
      </c>
      <c r="L17" s="4">
        <f>IF(A17&lt;('2. Inputs and results'!$C$21+1),L16,NA())</f>
        <v>212500</v>
      </c>
      <c r="M17" s="4">
        <f>IF(A17&lt;('2. Inputs and results'!$C$21+1),'2. Inputs and results'!$C$75*'2. Inputs and results'!$C$73," ")</f>
        <v>2500</v>
      </c>
      <c r="N17" s="4">
        <f>IF(A17&lt;('2. Inputs and results'!$C$21+1),M17/((1+$P$2)^A17)," ")</f>
        <v>1561.4926239501629</v>
      </c>
      <c r="O17" s="4">
        <f>IF(A17&lt;('2. Inputs and results'!$C$21+1),'2. Inputs and results'!$C$73*'2. Inputs and results'!$C$75+O16," ")</f>
        <v>240000</v>
      </c>
      <c r="P17" s="4">
        <f>IF(A17&lt;('2. Inputs and results'!$C$21+1),(G17+I17+H17+J17)/((1+$P$2)^A17)," ")</f>
        <v>29167.523297456592</v>
      </c>
      <c r="Q17" s="4">
        <f>IF(A17&lt;('2. Inputs and results'!$C$21+1),Q16+P17," ")</f>
        <v>315878.7347651996</v>
      </c>
      <c r="R17" s="4">
        <f>IF(A17&lt;('2. Inputs and results'!$C$21+1),R16+G17+I17+H17+J17+T17-$V$6,NA())</f>
        <v>150518.06843537648</v>
      </c>
      <c r="S17" s="4">
        <f>IF(A17&lt;('2. Inputs and results'!$C$21+1),'2. Inputs and results'!$C$79*(R16)," ")</f>
        <v>2126.3984780064998</v>
      </c>
      <c r="T17" s="4">
        <f t="shared" si="1"/>
        <v>0</v>
      </c>
      <c r="U17" s="4">
        <f>IF(A17&lt;('2. Inputs and results'!$C$21+1),U16+((G17+I17+H17+J17-$V$6+T17)/((1+$P$2)^A17)),NA())</f>
        <v>60785.28361467574</v>
      </c>
      <c r="V17" s="4">
        <f>IF(A17&lt;('2. Inputs and results'!$C$21+1),V16+('2. Inputs and results'!$C$75*'2. Inputs and results'!$C$73)," ")</f>
        <v>30000</v>
      </c>
      <c r="W17" s="4">
        <f>IF(A17&lt;('2. Inputs and results'!$C$21+1),W16+C17+Y17-$V$6,NA())</f>
        <v>26811.570242227175</v>
      </c>
      <c r="X17" s="4">
        <f>IF(A17&lt;('2. Inputs and results'!$C$21+1),'2. Inputs and results'!$C$79*(W16)," ")</f>
        <v>94.231404844543491</v>
      </c>
      <c r="Y17" s="4">
        <f t="shared" si="2"/>
        <v>0</v>
      </c>
      <c r="Z17" s="4">
        <f>IF(A17&lt;('2. Inputs and results'!$C$21+1),Z16+((C17-$V$6+Y17)/((1+$P$2)^A17)),NA())</f>
        <v>-27043.880768763604</v>
      </c>
      <c r="AA17" s="4">
        <f>IF(A17&lt;('2. Inputs and results'!$C$21+1),AA16+G17+I17+H17+T17-$V$6," ")</f>
        <v>363018.06843537651</v>
      </c>
      <c r="AB17" s="20">
        <f>IF(A17&lt;('2. Inputs and results'!$C$21+1),AA17/L17,NA())</f>
        <v>1.7083203220488306</v>
      </c>
      <c r="AC17" s="29">
        <f>IF(A17&lt;('2. Inputs and results'!$C$21+1),AC16+C17+Y17-$V$6," ")</f>
        <v>239311.5702422272</v>
      </c>
      <c r="AD17" s="20">
        <f>IF(A17&lt;('2. Inputs and results'!$C$21+1),AC17/L17,NA())</f>
        <v>1.1261720952575398</v>
      </c>
      <c r="AE17">
        <f>IF(A17&lt;('2. Inputs and results'!$C$21+1),-'2. Inputs and results'!$C$121*A17," ")</f>
        <v>-552000</v>
      </c>
      <c r="AF17">
        <f>IF(A17&lt;('2. Inputs and results'!$C$21+1),AE17/1000,NA())</f>
        <v>-552</v>
      </c>
    </row>
    <row r="18" spans="1:32" x14ac:dyDescent="0.25">
      <c r="A18">
        <f t="shared" si="0"/>
        <v>13</v>
      </c>
      <c r="B18">
        <f>IF(A18&lt;('2. Inputs and results'!$C$21+1),A18," ")</f>
        <v>13</v>
      </c>
      <c r="C18" s="4">
        <f>IF(A18&lt;('2. Inputs and results'!$C$21+1),'2. Inputs and results'!$C$99+'2. Inputs and results'!$C$101," ")</f>
        <v>24600</v>
      </c>
      <c r="D18" s="4">
        <f>IF(A18&lt;('2. Inputs and results'!$C$21+1),D17+C18,NA())</f>
        <v>319800</v>
      </c>
      <c r="E18" s="4">
        <f>IF(A18&lt;('2. Inputs and results'!$C$21+1),C18/((1+$P$2)^A18)," ")</f>
        <v>14774.122518913078</v>
      </c>
      <c r="F18" s="4">
        <f>IF(B18&lt;('2. Inputs and results'!$C$21+1),F17+E18," ")</f>
        <v>245646.93702717277</v>
      </c>
      <c r="G18" s="4">
        <f>IF(A18&lt;('2. Inputs and results'!$C$21+1),G17*(1+'2. Inputs and results'!$C$46)," ")</f>
        <v>90548.841232599807</v>
      </c>
      <c r="H18" s="4">
        <f>IF(A18&lt;('2. Inputs and results'!$C$21+1),H17*(1+'2. Inputs and results'!$C$58)," ")</f>
        <v>0</v>
      </c>
      <c r="I18" s="4">
        <f>IF(A18&lt;('2. Inputs and results'!$C$21+1),I17*(1+'2. Inputs and results'!$C$34)," ")</f>
        <v>-41048.808025445251</v>
      </c>
      <c r="J18" s="4">
        <f>IF(A18&lt;('2. Inputs and results'!$C$21+1),J17*(1+'2. Inputs and results'!$C$68)," ")</f>
        <v>0</v>
      </c>
      <c r="K18" s="4">
        <f>IF(A18&lt;('2. Inputs and results'!$C$21+1),K17+(G18+I18+H18+J18),NA())</f>
        <v>464500.5866597303</v>
      </c>
      <c r="L18" s="4">
        <f>IF(A18&lt;('2. Inputs and results'!$C$21+1),L17,NA())</f>
        <v>212500</v>
      </c>
      <c r="M18" s="4">
        <f>IF(A18&lt;('2. Inputs and results'!$C$21+1),'2. Inputs and results'!$C$75*'2. Inputs and results'!$C$73," ")</f>
        <v>2500</v>
      </c>
      <c r="N18" s="4">
        <f>IF(A18&lt;('2. Inputs and results'!$C$21+1),M18/((1+$P$2)^A18)," ")</f>
        <v>1501.4352153366949</v>
      </c>
      <c r="O18" s="4">
        <f>IF(A18&lt;('2. Inputs and results'!$C$21+1),'2. Inputs and results'!$C$73*'2. Inputs and results'!$C$75+O17," ")</f>
        <v>242500</v>
      </c>
      <c r="P18" s="4">
        <f>IF(A18&lt;('2. Inputs and results'!$C$21+1),(G18+I18+H18+J18)/((1+$P$2)^A18)," ")</f>
        <v>29728.43720702306</v>
      </c>
      <c r="Q18" s="4">
        <f>IF(A18&lt;('2. Inputs and results'!$C$21+1),Q17+P18," ")</f>
        <v>345607.17197222263</v>
      </c>
      <c r="R18" s="4">
        <f>IF(A18&lt;('2. Inputs and results'!$C$21+1),R17+G18+I18+H18+J18+T18-$V$6,NA())</f>
        <v>197518.10164253105</v>
      </c>
      <c r="S18" s="4">
        <f>IF(A18&lt;('2. Inputs and results'!$C$21+1),'2. Inputs and results'!$C$79*(R17)," ")</f>
        <v>3010.3613687075299</v>
      </c>
      <c r="T18" s="4">
        <f t="shared" si="1"/>
        <v>0</v>
      </c>
      <c r="U18" s="4">
        <f>IF(A18&lt;('2. Inputs and results'!$C$21+1),U17+((G18+I18+H18+J18-$V$6+T18)/((1+$P$2)^A18)),NA())</f>
        <v>89012.2856063621</v>
      </c>
      <c r="V18" s="4">
        <f>IF(A18&lt;('2. Inputs and results'!$C$21+1),V17+('2. Inputs and results'!$C$75*'2. Inputs and results'!$C$73)," ")</f>
        <v>32500</v>
      </c>
      <c r="W18" s="4">
        <f>IF(A18&lt;('2. Inputs and results'!$C$21+1),W17+C18+Y18-$V$6,NA())</f>
        <v>48911.570242227172</v>
      </c>
      <c r="X18" s="4">
        <f>IF(A18&lt;('2. Inputs and results'!$C$21+1),'2. Inputs and results'!$C$79*(W17)," ")</f>
        <v>536.23140484454348</v>
      </c>
      <c r="Y18" s="4">
        <f t="shared" si="2"/>
        <v>0</v>
      </c>
      <c r="Z18" s="4">
        <f>IF(A18&lt;('2. Inputs and results'!$C$21+1),Z17+((C18-$V$6+Y18)/((1+$P$2)^A18)),NA())</f>
        <v>-13771.19346518722</v>
      </c>
      <c r="AA18" s="4">
        <f>IF(A18&lt;('2. Inputs and results'!$C$21+1),AA17+G18+I18+H18+T18-$V$6," ")</f>
        <v>410018.10164253105</v>
      </c>
      <c r="AB18" s="20">
        <f>IF(A18&lt;('2. Inputs and results'!$C$21+1),AA18/L18,NA())</f>
        <v>1.9294969489060285</v>
      </c>
      <c r="AC18" s="29">
        <f>IF(A18&lt;('2. Inputs and results'!$C$21+1),AC17+C18+Y18-$V$6," ")</f>
        <v>261411.57024222717</v>
      </c>
      <c r="AD18" s="20">
        <f>IF(A18&lt;('2. Inputs and results'!$C$21+1),AC18/L18,NA())</f>
        <v>1.2301720952575397</v>
      </c>
      <c r="AE18">
        <f>IF(A18&lt;('2. Inputs and results'!$C$21+1),-'2. Inputs and results'!$C$121*A18," ")</f>
        <v>-598000</v>
      </c>
      <c r="AF18">
        <f>IF(A18&lt;('2. Inputs and results'!$C$21+1),AE18/1000,NA())</f>
        <v>-598</v>
      </c>
    </row>
    <row r="19" spans="1:32" x14ac:dyDescent="0.25">
      <c r="A19">
        <f t="shared" si="0"/>
        <v>14</v>
      </c>
      <c r="B19">
        <f>IF(A19&lt;('2. Inputs and results'!$C$21+1),A19," ")</f>
        <v>14</v>
      </c>
      <c r="C19" s="4">
        <f>IF(A19&lt;('2. Inputs and results'!$C$21+1),'2. Inputs and results'!$C$99+'2. Inputs and results'!$C$101," ")</f>
        <v>24600</v>
      </c>
      <c r="D19" s="4">
        <f>IF(A19&lt;('2. Inputs and results'!$C$21+1),D18+C19,NA())</f>
        <v>344400</v>
      </c>
      <c r="E19" s="4">
        <f>IF(A19&lt;('2. Inputs and results'!$C$21+1),C19/((1+$P$2)^A19)," ")</f>
        <v>14205.887037416422</v>
      </c>
      <c r="F19" s="4">
        <f>IF(B19&lt;('2. Inputs and results'!$C$21+1),F18+E19," ")</f>
        <v>259852.82406458919</v>
      </c>
      <c r="G19" s="4">
        <f>IF(A19&lt;('2. Inputs and results'!$C$21+1),G18*(1+'2. Inputs and results'!$C$46)," ")</f>
        <v>95981.771706555795</v>
      </c>
      <c r="H19" s="4">
        <f>IF(A19&lt;('2. Inputs and results'!$C$21+1),H18*(1+'2. Inputs and results'!$C$58)," ")</f>
        <v>0</v>
      </c>
      <c r="I19" s="4">
        <f>IF(A19&lt;('2. Inputs and results'!$C$21+1),I18*(1+'2. Inputs and results'!$C$34)," ")</f>
        <v>-43511.736506971967</v>
      </c>
      <c r="J19" s="4">
        <f>IF(A19&lt;('2. Inputs and results'!$C$21+1),J18*(1+'2. Inputs and results'!$C$68)," ")</f>
        <v>0</v>
      </c>
      <c r="K19" s="4">
        <f>IF(A19&lt;('2. Inputs and results'!$C$21+1),K18+(G19+I19+H19+J19),NA())</f>
        <v>516970.62185931415</v>
      </c>
      <c r="L19" s="4">
        <f>IF(A19&lt;('2. Inputs and results'!$C$21+1),L18,NA())</f>
        <v>212500</v>
      </c>
      <c r="M19" s="4">
        <f>IF(A19&lt;('2. Inputs and results'!$C$21+1),'2. Inputs and results'!$C$75*'2. Inputs and results'!$C$73," ")</f>
        <v>2500</v>
      </c>
      <c r="N19" s="4">
        <f>IF(A19&lt;('2. Inputs and results'!$C$21+1),M19/((1+$P$2)^A19)," ")</f>
        <v>1443.6877070545145</v>
      </c>
      <c r="O19" s="4">
        <f>IF(A19&lt;('2. Inputs and results'!$C$21+1),'2. Inputs and results'!$C$73*'2. Inputs and results'!$C$75+O18," ")</f>
        <v>245000</v>
      </c>
      <c r="P19" s="4">
        <f>IF(A19&lt;('2. Inputs and results'!$C$21+1),(G19+I19+H19+J19)/((1+$P$2)^A19)," ")</f>
        <v>30300.137922542737</v>
      </c>
      <c r="Q19" s="4">
        <f>IF(A19&lt;('2. Inputs and results'!$C$21+1),Q18+P19," ")</f>
        <v>375907.30989476538</v>
      </c>
      <c r="R19" s="4">
        <f>IF(A19&lt;('2. Inputs and results'!$C$21+1),R18+G19+I19+H19+J19+T19-$V$6,NA())</f>
        <v>247488.13684211488</v>
      </c>
      <c r="S19" s="4">
        <f>IF(A19&lt;('2. Inputs and results'!$C$21+1),'2. Inputs and results'!$C$79*(R18)," ")</f>
        <v>3950.3620328506213</v>
      </c>
      <c r="T19" s="4">
        <f t="shared" si="1"/>
        <v>0</v>
      </c>
      <c r="U19" s="4">
        <f>IF(A19&lt;('2. Inputs and results'!$C$21+1),U18+((G19+I19+H19+J19-$V$6+T19)/((1+$P$2)^A19)),NA())</f>
        <v>117868.73582185032</v>
      </c>
      <c r="V19" s="4">
        <f>IF(A19&lt;('2. Inputs and results'!$C$21+1),V18+('2. Inputs and results'!$C$75*'2. Inputs and results'!$C$73)," ")</f>
        <v>35000</v>
      </c>
      <c r="W19" s="4">
        <f>IF(A19&lt;('2. Inputs and results'!$C$21+1),W18+C19+Y19-$V$6,NA())</f>
        <v>71011.570242227172</v>
      </c>
      <c r="X19" s="4">
        <f>IF(A19&lt;('2. Inputs and results'!$C$21+1),'2. Inputs and results'!$C$79*(W18)," ")</f>
        <v>978.23140484454348</v>
      </c>
      <c r="Y19" s="4">
        <f t="shared" si="2"/>
        <v>0</v>
      </c>
      <c r="Z19" s="4">
        <f>IF(A19&lt;('2. Inputs and results'!$C$21+1),Z18+((C19-$V$6+Y19)/((1+$P$2)^A19)),NA())</f>
        <v>-1008.9941348253124</v>
      </c>
      <c r="AA19" s="4">
        <f>IF(A19&lt;('2. Inputs and results'!$C$21+1),AA18+G19+I19+H19+T19-$V$6," ")</f>
        <v>459988.13684211485</v>
      </c>
      <c r="AB19" s="20">
        <f>IF(A19&lt;('2. Inputs and results'!$C$21+1),AA19/L19,NA())</f>
        <v>2.1646500557275994</v>
      </c>
      <c r="AC19" s="29">
        <f>IF(A19&lt;('2. Inputs and results'!$C$21+1),AC18+C19+Y19-$V$6," ")</f>
        <v>283511.57024222717</v>
      </c>
      <c r="AD19" s="20">
        <f>IF(A19&lt;('2. Inputs and results'!$C$21+1),AC19/L19,NA())</f>
        <v>1.3341720952575395</v>
      </c>
      <c r="AE19">
        <f>IF(A19&lt;('2. Inputs and results'!$C$21+1),-'2. Inputs and results'!$C$121*A19," ")</f>
        <v>-644000</v>
      </c>
      <c r="AF19">
        <f>IF(A19&lt;('2. Inputs and results'!$C$21+1),AE19/1000,NA())</f>
        <v>-644</v>
      </c>
    </row>
    <row r="20" spans="1:32" x14ac:dyDescent="0.25">
      <c r="A20">
        <f t="shared" si="0"/>
        <v>15</v>
      </c>
      <c r="B20">
        <f>IF(A20&lt;('2. Inputs and results'!$C$21+1),A20," ")</f>
        <v>15</v>
      </c>
      <c r="C20" s="4">
        <f>IF(A20&lt;('2. Inputs and results'!$C$21+1),'2. Inputs and results'!$C$99+'2. Inputs and results'!$C$101," ")</f>
        <v>24600</v>
      </c>
      <c r="D20" s="4">
        <f>IF(A20&lt;('2. Inputs and results'!$C$21+1),D19+C20,NA())</f>
        <v>369000</v>
      </c>
      <c r="E20" s="4">
        <f>IF(A20&lt;('2. Inputs and results'!$C$21+1),C20/((1+$P$2)^A20)," ")</f>
        <v>13659.506766746561</v>
      </c>
      <c r="F20" s="4">
        <f>IF(B20&lt;('2. Inputs and results'!$C$21+1),F19+E20," ")</f>
        <v>273512.33083133574</v>
      </c>
      <c r="G20" s="4">
        <f>IF(A20&lt;('2. Inputs and results'!$C$21+1),G19*(1+'2. Inputs and results'!$C$46)," ")</f>
        <v>101740.67800894915</v>
      </c>
      <c r="H20" s="4">
        <f>IF(A20&lt;('2. Inputs and results'!$C$21+1),H19*(1+'2. Inputs and results'!$C$58)," ")</f>
        <v>0</v>
      </c>
      <c r="I20" s="4">
        <f>IF(A20&lt;('2. Inputs and results'!$C$21+1),I19*(1+'2. Inputs and results'!$C$34)," ")</f>
        <v>-46122.440697390288</v>
      </c>
      <c r="J20" s="4">
        <f>IF(A20&lt;('2. Inputs and results'!$C$21+1),J19*(1+'2. Inputs and results'!$C$68)," ")</f>
        <v>0</v>
      </c>
      <c r="K20" s="4">
        <f>IF(A20&lt;('2. Inputs and results'!$C$21+1),K19+(G20+I20+H20+J20),NA())</f>
        <v>572588.85917087307</v>
      </c>
      <c r="L20" s="4">
        <f>IF(A20&lt;('2. Inputs and results'!$C$21+1),L19,NA())</f>
        <v>212500</v>
      </c>
      <c r="M20" s="4">
        <f>IF(A20&lt;('2. Inputs and results'!$C$21+1),'2. Inputs and results'!$C$75*'2. Inputs and results'!$C$73," ")</f>
        <v>2500</v>
      </c>
      <c r="N20" s="4">
        <f>IF(A20&lt;('2. Inputs and results'!$C$21+1),M20/((1+$P$2)^A20)," ")</f>
        <v>1388.1612567831869</v>
      </c>
      <c r="O20" s="4">
        <f>IF(A20&lt;('2. Inputs and results'!$C$21+1),'2. Inputs and results'!$C$73*'2. Inputs and results'!$C$75+O19," ")</f>
        <v>247500</v>
      </c>
      <c r="P20" s="4">
        <f>IF(A20&lt;('2. Inputs and results'!$C$21+1),(G20+I20+H20+J20)/((1+$P$2)^A20)," ")</f>
        <v>30882.83288259164</v>
      </c>
      <c r="Q20" s="4">
        <f>IF(A20&lt;('2. Inputs and results'!$C$21+1),Q19+P20," ")</f>
        <v>406790.14277735702</v>
      </c>
      <c r="R20" s="4">
        <f>IF(A20&lt;('2. Inputs and results'!$C$21+1),R19+G20+I20+H20+J20+T20-$V$6,NA())</f>
        <v>300606.37415367371</v>
      </c>
      <c r="S20" s="4">
        <f>IF(A20&lt;('2. Inputs and results'!$C$21+1),'2. Inputs and results'!$C$79*(R19)," ")</f>
        <v>4949.7627368422973</v>
      </c>
      <c r="T20" s="4">
        <f t="shared" si="1"/>
        <v>0</v>
      </c>
      <c r="U20" s="4">
        <f>IF(A20&lt;('2. Inputs and results'!$C$21+1),U19+((G20+I20+H20+J20-$V$6+T20)/((1+$P$2)^A20)),NA())</f>
        <v>147363.40744765877</v>
      </c>
      <c r="V20" s="4">
        <f>IF(A20&lt;('2. Inputs and results'!$C$21+1),V19+('2. Inputs and results'!$C$75*'2. Inputs and results'!$C$73)," ")</f>
        <v>37500</v>
      </c>
      <c r="W20" s="4">
        <f>IF(A20&lt;('2. Inputs and results'!$C$21+1),W19+C20+Y20-$V$6,NA())</f>
        <v>93111.570242227172</v>
      </c>
      <c r="X20" s="4">
        <f>IF(A20&lt;('2. Inputs and results'!$C$21+1),'2. Inputs and results'!$C$79*(W19)," ")</f>
        <v>1420.2314048445435</v>
      </c>
      <c r="Y20" s="4">
        <f t="shared" si="2"/>
        <v>0</v>
      </c>
      <c r="Z20" s="4">
        <f>IF(A20&lt;('2. Inputs and results'!$C$21+1),Z19+((C20-$V$6+Y20)/((1+$P$2)^A20)),NA())</f>
        <v>11262.351375138061</v>
      </c>
      <c r="AA20" s="4">
        <f>IF(A20&lt;('2. Inputs and results'!$C$21+1),AA19+G20+I20+H20+T20-$V$6," ")</f>
        <v>513106.37415367371</v>
      </c>
      <c r="AB20" s="20">
        <f>IF(A20&lt;('2. Inputs and results'!$C$21+1),AA20/L20,NA())</f>
        <v>2.4146182313114055</v>
      </c>
      <c r="AC20" s="29">
        <f>IF(A20&lt;('2. Inputs and results'!$C$21+1),AC19+C20+Y20-$V$6," ")</f>
        <v>305611.57024222717</v>
      </c>
      <c r="AD20" s="20">
        <f>IF(A20&lt;('2. Inputs and results'!$C$21+1),AC20/L20,NA())</f>
        <v>1.4381720952575396</v>
      </c>
      <c r="AE20">
        <f>IF(A20&lt;('2. Inputs and results'!$C$21+1),-'2. Inputs and results'!$C$121*A20," ")</f>
        <v>-690000</v>
      </c>
      <c r="AF20">
        <f>IF(A20&lt;('2. Inputs and results'!$C$21+1),AE20/1000,NA())</f>
        <v>-690</v>
      </c>
    </row>
    <row r="21" spans="1:32" x14ac:dyDescent="0.25">
      <c r="A21">
        <f t="shared" si="0"/>
        <v>16</v>
      </c>
      <c r="B21">
        <f>IF(A21&lt;('2. Inputs and results'!$C$21+1),A21," ")</f>
        <v>16</v>
      </c>
      <c r="C21" s="4">
        <f>IF(A21&lt;('2. Inputs and results'!$C$21+1),'2. Inputs and results'!$C$99+'2. Inputs and results'!$C$101," ")</f>
        <v>24600</v>
      </c>
      <c r="D21" s="4">
        <f>IF(A21&lt;('2. Inputs and results'!$C$21+1),D20+C21,NA())</f>
        <v>393600</v>
      </c>
      <c r="E21" s="4">
        <f>IF(A21&lt;('2. Inputs and results'!$C$21+1),C21/((1+$P$2)^A21)," ")</f>
        <v>13134.141121871689</v>
      </c>
      <c r="F21" s="4">
        <f>IF(B21&lt;('2. Inputs and results'!$C$21+1),F20+E21," ")</f>
        <v>286646.47195320745</v>
      </c>
      <c r="G21" s="4">
        <f>IF(A21&lt;('2. Inputs and results'!$C$21+1),G20*(1+'2. Inputs and results'!$C$46)," ")</f>
        <v>107845.1186894861</v>
      </c>
      <c r="H21" s="4">
        <f>IF(A21&lt;('2. Inputs and results'!$C$21+1),H20*(1+'2. Inputs and results'!$C$58)," ")</f>
        <v>0</v>
      </c>
      <c r="I21" s="4">
        <f>IF(A21&lt;('2. Inputs and results'!$C$21+1),I20*(1+'2. Inputs and results'!$C$34)," ")</f>
        <v>-48889.787139233711</v>
      </c>
      <c r="J21" s="4">
        <f>IF(A21&lt;('2. Inputs and results'!$C$21+1),J20*(1+'2. Inputs and results'!$C$68)," ")</f>
        <v>0</v>
      </c>
      <c r="K21" s="4">
        <f>IF(A21&lt;('2. Inputs and results'!$C$21+1),K20+(G21+I21+H21+J21),NA())</f>
        <v>631544.19072112546</v>
      </c>
      <c r="L21" s="4">
        <f>IF(A21&lt;('2. Inputs and results'!$C$21+1),L20,NA())</f>
        <v>212500</v>
      </c>
      <c r="M21" s="4">
        <f>IF(A21&lt;('2. Inputs and results'!$C$21+1),'2. Inputs and results'!$C$75*'2. Inputs and results'!$C$73," ")</f>
        <v>2500</v>
      </c>
      <c r="N21" s="4">
        <f>IF(A21&lt;('2. Inputs and results'!$C$21+1),M21/((1+$P$2)^A21)," ")</f>
        <v>1334.7704392146027</v>
      </c>
      <c r="O21" s="4">
        <f>IF(A21&lt;('2. Inputs and results'!$C$21+1),'2. Inputs and results'!$C$73*'2. Inputs and results'!$C$75+O20," ")</f>
        <v>250000</v>
      </c>
      <c r="P21" s="4">
        <f>IF(A21&lt;('2. Inputs and results'!$C$21+1),(G21+I21+H21+J21)/((1+$P$2)^A21)," ")</f>
        <v>31476.733514949163</v>
      </c>
      <c r="Q21" s="4">
        <f>IF(A21&lt;('2. Inputs and results'!$C$21+1),Q20+P21," ")</f>
        <v>438266.87629230617</v>
      </c>
      <c r="R21" s="4">
        <f>IF(A21&lt;('2. Inputs and results'!$C$21+1),R20+G21+I21+H21+J21+T21-$V$6,NA())</f>
        <v>357061.7057039261</v>
      </c>
      <c r="S21" s="4">
        <f>IF(A21&lt;('2. Inputs and results'!$C$21+1),'2. Inputs and results'!$C$79*(R20)," ")</f>
        <v>6012.1274830734747</v>
      </c>
      <c r="T21" s="4">
        <f t="shared" si="1"/>
        <v>0</v>
      </c>
      <c r="U21" s="4">
        <f>IF(A21&lt;('2. Inputs and results'!$C$21+1),U20+((G21+I21+H21+J21-$V$6+T21)/((1+$P$2)^A21)),NA())</f>
        <v>177505.37052339333</v>
      </c>
      <c r="V21" s="4">
        <f>IF(A21&lt;('2. Inputs and results'!$C$21+1),V20+('2. Inputs and results'!$C$75*'2. Inputs and results'!$C$73)," ")</f>
        <v>40000</v>
      </c>
      <c r="W21" s="4">
        <f>IF(A21&lt;('2. Inputs and results'!$C$21+1),W20+C21+Y21-$V$6,NA())</f>
        <v>115211.57024222717</v>
      </c>
      <c r="X21" s="4">
        <f>IF(A21&lt;('2. Inputs and results'!$C$21+1),'2. Inputs and results'!$C$79*(W20)," ")</f>
        <v>1862.2314048445435</v>
      </c>
      <c r="Y21" s="4">
        <f t="shared" si="2"/>
        <v>0</v>
      </c>
      <c r="Z21" s="4">
        <f>IF(A21&lt;('2. Inputs and results'!$C$21+1),Z20+((C21-$V$6+Y21)/((1+$P$2)^A21)),NA())</f>
        <v>23061.722057795148</v>
      </c>
      <c r="AA21" s="4">
        <f>IF(A21&lt;('2. Inputs and results'!$C$21+1),AA20+G21+I21+H21+T21-$V$6," ")</f>
        <v>569561.70570392616</v>
      </c>
      <c r="AB21" s="20">
        <f>IF(A21&lt;('2. Inputs and results'!$C$21+1),AA21/L21,NA())</f>
        <v>2.6802903797831821</v>
      </c>
      <c r="AC21" s="29">
        <f>IF(A21&lt;('2. Inputs and results'!$C$21+1),AC20+C21+Y21-$V$6," ")</f>
        <v>327711.57024222717</v>
      </c>
      <c r="AD21" s="20">
        <f>IF(A21&lt;('2. Inputs and results'!$C$21+1),AC21/L21,NA())</f>
        <v>1.5421720952575397</v>
      </c>
      <c r="AE21">
        <f>IF(A21&lt;('2. Inputs and results'!$C$21+1),-'2. Inputs and results'!$C$121*A21," ")</f>
        <v>-736000</v>
      </c>
      <c r="AF21">
        <f>IF(A21&lt;('2. Inputs and results'!$C$21+1),AE21/1000,NA())</f>
        <v>-736</v>
      </c>
    </row>
    <row r="22" spans="1:32" x14ac:dyDescent="0.25">
      <c r="A22">
        <f t="shared" si="0"/>
        <v>17</v>
      </c>
      <c r="B22">
        <f>IF(A22&lt;('2. Inputs and results'!$C$21+1),A22," ")</f>
        <v>17</v>
      </c>
      <c r="C22" s="4">
        <f>IF(A22&lt;('2. Inputs and results'!$C$21+1),'2. Inputs and results'!$C$99+'2. Inputs and results'!$C$101," ")</f>
        <v>24600</v>
      </c>
      <c r="D22" s="4">
        <f>IF(A22&lt;('2. Inputs and results'!$C$21+1),D21+C22,NA())</f>
        <v>418200</v>
      </c>
      <c r="E22" s="4">
        <f>IF(A22&lt;('2. Inputs and results'!$C$21+1),C22/((1+$P$2)^A22)," ")</f>
        <v>12628.981847953548</v>
      </c>
      <c r="F22" s="4">
        <f>IF(B22&lt;('2. Inputs and results'!$C$21+1),F21+E22," ")</f>
        <v>299275.45380116103</v>
      </c>
      <c r="G22" s="4">
        <f>IF(A22&lt;('2. Inputs and results'!$C$21+1),G21*(1+'2. Inputs and results'!$C$46)," ")</f>
        <v>114315.82581085527</v>
      </c>
      <c r="H22" s="4">
        <f>IF(A22&lt;('2. Inputs and results'!$C$21+1),H21*(1+'2. Inputs and results'!$C$58)," ")</f>
        <v>0</v>
      </c>
      <c r="I22" s="4">
        <f>IF(A22&lt;('2. Inputs and results'!$C$21+1),I21*(1+'2. Inputs and results'!$C$34)," ")</f>
        <v>-51823.174367587737</v>
      </c>
      <c r="J22" s="4">
        <f>IF(A22&lt;('2. Inputs and results'!$C$21+1),J21*(1+'2. Inputs and results'!$C$68)," ")</f>
        <v>0</v>
      </c>
      <c r="K22" s="4">
        <f>IF(A22&lt;('2. Inputs and results'!$C$21+1),K21+(G22+I22+H22+J22),NA())</f>
        <v>694036.84216439305</v>
      </c>
      <c r="L22" s="4">
        <f>IF(A22&lt;('2. Inputs and results'!$C$21+1),L21,NA())</f>
        <v>212500</v>
      </c>
      <c r="M22" s="4">
        <f>IF(A22&lt;('2. Inputs and results'!$C$21+1),'2. Inputs and results'!$C$75*'2. Inputs and results'!$C$73," ")</f>
        <v>2500</v>
      </c>
      <c r="N22" s="4">
        <f>IF(A22&lt;('2. Inputs and results'!$C$21+1),M22/((1+$P$2)^A22)," ")</f>
        <v>1283.4331146294255</v>
      </c>
      <c r="O22" s="4">
        <f>IF(A22&lt;('2. Inputs and results'!$C$21+1),'2. Inputs and results'!$C$73*'2. Inputs and results'!$C$75+O21," ")</f>
        <v>252500</v>
      </c>
      <c r="P22" s="4">
        <f>IF(A22&lt;('2. Inputs and results'!$C$21+1),(G22+I22+H22+J22)/((1+$P$2)^A22)," ")</f>
        <v>32082.055313313565</v>
      </c>
      <c r="Q22" s="4">
        <f>IF(A22&lt;('2. Inputs and results'!$C$21+1),Q21+P22," ")</f>
        <v>470348.93160561973</v>
      </c>
      <c r="R22" s="4">
        <f>IF(A22&lt;('2. Inputs and results'!$C$21+1),R21+G22+I22+H22+J22+T22-$V$6,NA())</f>
        <v>417054.35714719363</v>
      </c>
      <c r="S22" s="4">
        <f>IF(A22&lt;('2. Inputs and results'!$C$21+1),'2. Inputs and results'!$C$79*(R21)," ")</f>
        <v>7141.234114078522</v>
      </c>
      <c r="T22" s="4">
        <f t="shared" si="1"/>
        <v>0</v>
      </c>
      <c r="U22" s="4">
        <f>IF(A22&lt;('2. Inputs and results'!$C$21+1),U21+((G22+I22+H22+J22-$V$6+T22)/((1+$P$2)^A22)),NA())</f>
        <v>208303.99272207747</v>
      </c>
      <c r="V22" s="4">
        <f>IF(A22&lt;('2. Inputs and results'!$C$21+1),V21+('2. Inputs and results'!$C$75*'2. Inputs and results'!$C$73)," ")</f>
        <v>42500</v>
      </c>
      <c r="W22" s="4">
        <f>IF(A22&lt;('2. Inputs and results'!$C$21+1),W21+C22+Y22-$V$6,NA())</f>
        <v>137311.57024222717</v>
      </c>
      <c r="X22" s="4">
        <f>IF(A22&lt;('2. Inputs and results'!$C$21+1),'2. Inputs and results'!$C$79*(W21)," ")</f>
        <v>2304.2314048445437</v>
      </c>
      <c r="Y22" s="4">
        <f t="shared" si="2"/>
        <v>0</v>
      </c>
      <c r="Z22" s="4">
        <f>IF(A22&lt;('2. Inputs and results'!$C$21+1),Z21+((C22-$V$6+Y22)/((1+$P$2)^A22)),NA())</f>
        <v>34407.27079111927</v>
      </c>
      <c r="AA22" s="4">
        <f>IF(A22&lt;('2. Inputs and results'!$C$21+1),AA21+G22+I22+H22+T22-$V$6," ")</f>
        <v>629554.35714719363</v>
      </c>
      <c r="AB22" s="20">
        <f>IF(A22&lt;('2. Inputs and results'!$C$21+1),AA22/L22,NA())</f>
        <v>2.9626087395162055</v>
      </c>
      <c r="AC22" s="29">
        <f>IF(A22&lt;('2. Inputs and results'!$C$21+1),AC21+C22+Y22-$V$6," ")</f>
        <v>349811.57024222717</v>
      </c>
      <c r="AD22" s="20">
        <f>IF(A22&lt;('2. Inputs and results'!$C$21+1),AC22/L22,NA())</f>
        <v>1.6461720952575396</v>
      </c>
      <c r="AE22">
        <f>IF(A22&lt;('2. Inputs and results'!$C$21+1),-'2. Inputs and results'!$C$121*A22," ")</f>
        <v>-782000</v>
      </c>
      <c r="AF22">
        <f>IF(A22&lt;('2. Inputs and results'!$C$21+1),AE22/1000,NA())</f>
        <v>-782</v>
      </c>
    </row>
    <row r="23" spans="1:32" x14ac:dyDescent="0.25">
      <c r="A23">
        <f t="shared" si="0"/>
        <v>18</v>
      </c>
      <c r="B23">
        <f>IF(A23&lt;('2. Inputs and results'!$C$21+1),A23," ")</f>
        <v>18</v>
      </c>
      <c r="C23" s="4">
        <f>IF(A23&lt;('2. Inputs and results'!$C$21+1),'2. Inputs and results'!$C$99+'2. Inputs and results'!$C$101," ")</f>
        <v>24600</v>
      </c>
      <c r="D23" s="4">
        <f>IF(A23&lt;('2. Inputs and results'!$C$21+1),D22+C23,NA())</f>
        <v>442800</v>
      </c>
      <c r="E23" s="4">
        <f>IF(A23&lt;('2. Inputs and results'!$C$21+1),C23/((1+$P$2)^A23)," ")</f>
        <v>12143.251776878409</v>
      </c>
      <c r="F23" s="4">
        <f>IF(B23&lt;('2. Inputs and results'!$C$21+1),F22+E23," ")</f>
        <v>311418.70557803946</v>
      </c>
      <c r="G23" s="4">
        <f>IF(A23&lt;('2. Inputs and results'!$C$21+1),G22*(1+'2. Inputs and results'!$C$46)," ")</f>
        <v>121174.77535950659</v>
      </c>
      <c r="H23" s="4">
        <f>IF(A23&lt;('2. Inputs and results'!$C$21+1),H22*(1+'2. Inputs and results'!$C$58)," ")</f>
        <v>0</v>
      </c>
      <c r="I23" s="4">
        <f>IF(A23&lt;('2. Inputs and results'!$C$21+1),I22*(1+'2. Inputs and results'!$C$34)," ")</f>
        <v>-54932.564829643001</v>
      </c>
      <c r="J23" s="4">
        <f>IF(A23&lt;('2. Inputs and results'!$C$21+1),J22*(1+'2. Inputs and results'!$C$68)," ")</f>
        <v>0</v>
      </c>
      <c r="K23" s="4">
        <f>IF(A23&lt;('2. Inputs and results'!$C$21+1),K22+(G23+I23+H23+J23),NA())</f>
        <v>760279.05269425665</v>
      </c>
      <c r="L23" s="4">
        <f>IF(A23&lt;('2. Inputs and results'!$C$21+1),L22,NA())</f>
        <v>212500</v>
      </c>
      <c r="M23" s="4">
        <f>IF(A23&lt;('2. Inputs and results'!$C$21+1),'2. Inputs and results'!$C$75*'2. Inputs and results'!$C$73," ")</f>
        <v>2500</v>
      </c>
      <c r="N23" s="4">
        <f>IF(A23&lt;('2. Inputs and results'!$C$21+1),M23/((1+$P$2)^A23)," ")</f>
        <v>1234.0703025282937</v>
      </c>
      <c r="O23" s="4">
        <f>IF(A23&lt;('2. Inputs and results'!$C$21+1),'2. Inputs and results'!$C$73*'2. Inputs and results'!$C$75+O22," ")</f>
        <v>255000</v>
      </c>
      <c r="P23" s="4">
        <f>IF(A23&lt;('2. Inputs and results'!$C$21+1),(G23+I23+H23+J23)/((1+$P$2)^A23)," ")</f>
        <v>32699.01791549267</v>
      </c>
      <c r="Q23" s="4">
        <f>IF(A23&lt;('2. Inputs and results'!$C$21+1),Q22+P23," ")</f>
        <v>503047.94952111237</v>
      </c>
      <c r="R23" s="4">
        <f>IF(A23&lt;('2. Inputs and results'!$C$21+1),R22+G23+I23+H23+J23+T23-$V$6,NA())</f>
        <v>480796.56767705723</v>
      </c>
      <c r="S23" s="4">
        <f>IF(A23&lt;('2. Inputs and results'!$C$21+1),'2. Inputs and results'!$C$79*(R22)," ")</f>
        <v>8341.0871429438721</v>
      </c>
      <c r="T23" s="4">
        <f t="shared" si="1"/>
        <v>0</v>
      </c>
      <c r="U23" s="4">
        <f>IF(A23&lt;('2. Inputs and results'!$C$21+1),U22+((G23+I23+H23+J23-$V$6+T23)/((1+$P$2)^A23)),NA())</f>
        <v>239768.94033504184</v>
      </c>
      <c r="V23" s="4">
        <f>IF(A23&lt;('2. Inputs and results'!$C$21+1),V22+('2. Inputs and results'!$C$75*'2. Inputs and results'!$C$73)," ")</f>
        <v>45000</v>
      </c>
      <c r="W23" s="4">
        <f>IF(A23&lt;('2. Inputs and results'!$C$21+1),W22+C23+Y23-$V$6,NA())</f>
        <v>159411.57024222717</v>
      </c>
      <c r="X23" s="4">
        <f>IF(A23&lt;('2. Inputs and results'!$C$21+1),'2. Inputs and results'!$C$79*(W22)," ")</f>
        <v>2746.2314048445437</v>
      </c>
      <c r="Y23" s="4">
        <f t="shared" si="2"/>
        <v>0</v>
      </c>
      <c r="Z23" s="4">
        <f>IF(A23&lt;('2. Inputs and results'!$C$21+1),Z22+((C23-$V$6+Y23)/((1+$P$2)^A23)),NA())</f>
        <v>45316.452265469386</v>
      </c>
      <c r="AA23" s="4">
        <f>IF(A23&lt;('2. Inputs and results'!$C$21+1),AA22+G23+I23+H23+T23-$V$6," ")</f>
        <v>693296.56767705723</v>
      </c>
      <c r="AB23" s="20">
        <f>IF(A23&lt;('2. Inputs and results'!$C$21+1),AA23/L23,NA())</f>
        <v>3.2625720831861518</v>
      </c>
      <c r="AC23" s="29">
        <f>IF(A23&lt;('2. Inputs and results'!$C$21+1),AC22+C23+Y23-$V$6," ")</f>
        <v>371911.57024222717</v>
      </c>
      <c r="AD23" s="20">
        <f>IF(A23&lt;('2. Inputs and results'!$C$21+1),AC23/L23,NA())</f>
        <v>1.7501720952575397</v>
      </c>
      <c r="AE23">
        <f>IF(A23&lt;('2. Inputs and results'!$C$21+1),-'2. Inputs and results'!$C$121*A23," ")</f>
        <v>-828000</v>
      </c>
      <c r="AF23">
        <f>IF(A23&lt;('2. Inputs and results'!$C$21+1),AE23/1000,NA())</f>
        <v>-828</v>
      </c>
    </row>
    <row r="24" spans="1:32" x14ac:dyDescent="0.25">
      <c r="A24">
        <f t="shared" si="0"/>
        <v>19</v>
      </c>
      <c r="B24">
        <f>IF(A24&lt;('2. Inputs and results'!$C$21+1),A24," ")</f>
        <v>19</v>
      </c>
      <c r="C24" s="4">
        <f>IF(A24&lt;('2. Inputs and results'!$C$21+1),'2. Inputs and results'!$C$99+'2. Inputs and results'!$C$101," ")</f>
        <v>24600</v>
      </c>
      <c r="D24" s="4">
        <f>IF(A24&lt;('2. Inputs and results'!$C$21+1),D23+C24,NA())</f>
        <v>467400</v>
      </c>
      <c r="E24" s="4">
        <f>IF(A24&lt;('2. Inputs and results'!$C$21+1),C24/((1+$P$2)^A24)," ")</f>
        <v>11676.203631613856</v>
      </c>
      <c r="F24" s="4">
        <f>IF(B24&lt;('2. Inputs and results'!$C$21+1),F23+E24," ")</f>
        <v>323094.90920965333</v>
      </c>
      <c r="G24" s="4">
        <f>IF(A24&lt;('2. Inputs and results'!$C$21+1),G23*(1+'2. Inputs and results'!$C$46)," ")</f>
        <v>128445.26188107699</v>
      </c>
      <c r="H24" s="4">
        <f>IF(A24&lt;('2. Inputs and results'!$C$21+1),H23*(1+'2. Inputs and results'!$C$58)," ")</f>
        <v>0</v>
      </c>
      <c r="I24" s="4">
        <f>IF(A24&lt;('2. Inputs and results'!$C$21+1),I23*(1+'2. Inputs and results'!$C$34)," ")</f>
        <v>-58228.518719421583</v>
      </c>
      <c r="J24" s="4">
        <f>IF(A24&lt;('2. Inputs and results'!$C$21+1),J23*(1+'2. Inputs and results'!$C$68)," ")</f>
        <v>0</v>
      </c>
      <c r="K24" s="4">
        <f>IF(A24&lt;('2. Inputs and results'!$C$21+1),K23+(G24+I24+H24+J24),NA())</f>
        <v>830495.79585591203</v>
      </c>
      <c r="L24" s="4">
        <f>IF(A24&lt;('2. Inputs and results'!$C$21+1),L23,NA())</f>
        <v>212500</v>
      </c>
      <c r="M24" s="4">
        <f>IF(A24&lt;('2. Inputs and results'!$C$21+1),'2. Inputs and results'!$C$75*'2. Inputs and results'!$C$73," ")</f>
        <v>2500</v>
      </c>
      <c r="N24" s="4">
        <f>IF(A24&lt;('2. Inputs and results'!$C$21+1),M24/((1+$P$2)^A24)," ")</f>
        <v>1186.6060601233594</v>
      </c>
      <c r="O24" s="4">
        <f>IF(A24&lt;('2. Inputs and results'!$C$21+1),'2. Inputs and results'!$C$73*'2. Inputs and results'!$C$75+O23," ")</f>
        <v>257500</v>
      </c>
      <c r="P24" s="4">
        <f>IF(A24&lt;('2. Inputs and results'!$C$21+1),(G24+I24+H24+J24)/((1+$P$2)^A24)," ")</f>
        <v>33327.845183098303</v>
      </c>
      <c r="Q24" s="4">
        <f>IF(A24&lt;('2. Inputs and results'!$C$21+1),Q23+P24," ")</f>
        <v>536375.79470421071</v>
      </c>
      <c r="R24" s="4">
        <f>IF(A24&lt;('2. Inputs and results'!$C$21+1),R23+G24+I24+H24+J24+T24-$V$6,NA())</f>
        <v>548513.31083871261</v>
      </c>
      <c r="S24" s="4">
        <f>IF(A24&lt;('2. Inputs and results'!$C$21+1),'2. Inputs and results'!$C$79*(R23)," ")</f>
        <v>9615.9313535411457</v>
      </c>
      <c r="T24" s="4">
        <f t="shared" si="1"/>
        <v>0</v>
      </c>
      <c r="U24" s="4">
        <f>IF(A24&lt;('2. Inputs and results'!$C$21+1),U23+((G24+I24+H24+J24-$V$6+T24)/((1+$P$2)^A24)),NA())</f>
        <v>271910.17945801676</v>
      </c>
      <c r="V24" s="4">
        <f>IF(A24&lt;('2. Inputs and results'!$C$21+1),V23+('2. Inputs and results'!$C$75*'2. Inputs and results'!$C$73)," ")</f>
        <v>47500</v>
      </c>
      <c r="W24" s="4">
        <f>IF(A24&lt;('2. Inputs and results'!$C$21+1),W23+C24+Y24-$V$6,NA())</f>
        <v>181511.57024222717</v>
      </c>
      <c r="X24" s="4">
        <f>IF(A24&lt;('2. Inputs and results'!$C$21+1),'2. Inputs and results'!$C$79*(W23)," ")</f>
        <v>3188.2314048445437</v>
      </c>
      <c r="Y24" s="4">
        <f t="shared" si="2"/>
        <v>0</v>
      </c>
      <c r="Z24" s="4">
        <f>IF(A24&lt;('2. Inputs and results'!$C$21+1),Z23+((C24-$V$6+Y24)/((1+$P$2)^A24)),NA())</f>
        <v>55806.049836959879</v>
      </c>
      <c r="AA24" s="4">
        <f>IF(A24&lt;('2. Inputs and results'!$C$21+1),AA23+G24+I24+H24+T24-$V$6," ")</f>
        <v>761013.31083871261</v>
      </c>
      <c r="AB24" s="20">
        <f>IF(A24&lt;('2. Inputs and results'!$C$21+1),AA24/L24,NA())</f>
        <v>3.581239109829236</v>
      </c>
      <c r="AC24" s="29">
        <f>IF(A24&lt;('2. Inputs and results'!$C$21+1),AC23+C24+Y24-$V$6," ")</f>
        <v>394011.57024222717</v>
      </c>
      <c r="AD24" s="20">
        <f>IF(A24&lt;('2. Inputs and results'!$C$21+1),AC24/L24,NA())</f>
        <v>1.8541720952575396</v>
      </c>
      <c r="AE24">
        <f>IF(A24&lt;('2. Inputs and results'!$C$21+1),-'2. Inputs and results'!$C$121*A24," ")</f>
        <v>-874000</v>
      </c>
      <c r="AF24">
        <f>IF(A24&lt;('2. Inputs and results'!$C$21+1),AE24/1000,NA())</f>
        <v>-874</v>
      </c>
    </row>
    <row r="25" spans="1:32" x14ac:dyDescent="0.25">
      <c r="A25">
        <f t="shared" si="0"/>
        <v>20</v>
      </c>
      <c r="B25">
        <f>IF(A25&lt;('2. Inputs and results'!$C$21+1),A25," ")</f>
        <v>20</v>
      </c>
      <c r="C25" s="4">
        <f>IF(A25&lt;('2. Inputs and results'!$C$21+1),'2. Inputs and results'!$C$99+'2. Inputs and results'!$C$101," ")</f>
        <v>24600</v>
      </c>
      <c r="D25" s="4">
        <f>IF(A25&lt;('2. Inputs and results'!$C$21+1),D24+C25,NA())</f>
        <v>492000</v>
      </c>
      <c r="E25" s="4">
        <f>IF(A25&lt;('2. Inputs and results'!$C$21+1),C25/((1+$P$2)^A25)," ")</f>
        <v>11227.118876551785</v>
      </c>
      <c r="F25" s="4">
        <f>IF(B25&lt;('2. Inputs and results'!$C$21+1),F24+E25," ")</f>
        <v>334322.02808620513</v>
      </c>
      <c r="G25" s="4">
        <f>IF(A25&lt;('2. Inputs and results'!$C$21+1),G24*(1+'2. Inputs and results'!$C$46)," ")</f>
        <v>136151.97759394161</v>
      </c>
      <c r="H25" s="4">
        <f>IF(A25&lt;('2. Inputs and results'!$C$21+1),H24*(1+'2. Inputs and results'!$C$58)," ")</f>
        <v>0</v>
      </c>
      <c r="I25" s="4">
        <f>IF(A25&lt;('2. Inputs and results'!$C$21+1),I24*(1+'2. Inputs and results'!$C$34)," ")</f>
        <v>-61722.229842586879</v>
      </c>
      <c r="J25" s="4">
        <f>IF(A25&lt;('2. Inputs and results'!$C$21+1),J24*(1+'2. Inputs and results'!$C$68)," ")</f>
        <v>0</v>
      </c>
      <c r="K25" s="4">
        <f>IF(A25&lt;('2. Inputs and results'!$C$21+1),K24+(G25+I25+H25+J25),NA())</f>
        <v>904925.54360726674</v>
      </c>
      <c r="L25" s="4">
        <f>IF(A25&lt;('2. Inputs and results'!$C$21+1),L24,NA())</f>
        <v>212500</v>
      </c>
      <c r="M25" s="4">
        <f>IF(A25&lt;('2. Inputs and results'!$C$21+1),'2. Inputs and results'!$C$75*'2. Inputs and results'!$C$73," ")</f>
        <v>2500</v>
      </c>
      <c r="N25" s="4">
        <f>IF(A25&lt;('2. Inputs and results'!$C$21+1),M25/((1+$P$2)^A25)," ")</f>
        <v>1140.9673655032302</v>
      </c>
      <c r="O25" s="4">
        <f>IF(A25&lt;('2. Inputs and results'!$C$21+1),'2. Inputs and results'!$C$73*'2. Inputs and results'!$C$75+O24," ")</f>
        <v>260000</v>
      </c>
      <c r="P25" s="4">
        <f>IF(A25&lt;('2. Inputs and results'!$C$21+1),(G25+I25+H25+J25)/((1+$P$2)^A25)," ")</f>
        <v>33968.765282773275</v>
      </c>
      <c r="Q25" s="4">
        <f>IF(A25&lt;('2. Inputs and results'!$C$21+1),Q24+P25," ")</f>
        <v>570344.55998698401</v>
      </c>
      <c r="R25" s="4">
        <f>IF(A25&lt;('2. Inputs and results'!$C$21+1),R24+G25+I25+H25+J25+T25-$V$6,NA())</f>
        <v>620443.05859006732</v>
      </c>
      <c r="S25" s="4">
        <f>IF(A25&lt;('2. Inputs and results'!$C$21+1),'2. Inputs and results'!$C$79*(R24)," ")</f>
        <v>10970.266216774253</v>
      </c>
      <c r="T25" s="4">
        <f t="shared" si="1"/>
        <v>0</v>
      </c>
      <c r="U25" s="4">
        <f>IF(A25&lt;('2. Inputs and results'!$C$21+1),U24+((G25+I25+H25+J25-$V$6+T25)/((1+$P$2)^A25)),NA())</f>
        <v>304737.97737528681</v>
      </c>
      <c r="V25" s="4">
        <f>IF(A25&lt;('2. Inputs and results'!$C$21+1),V24+('2. Inputs and results'!$C$75*'2. Inputs and results'!$C$73)," ")</f>
        <v>50000</v>
      </c>
      <c r="W25" s="4">
        <f>IF(A25&lt;('2. Inputs and results'!$C$21+1),W24+C25+Y25-$V$6,NA())</f>
        <v>203611.57024222717</v>
      </c>
      <c r="X25" s="4">
        <f>IF(A25&lt;('2. Inputs and results'!$C$21+1),'2. Inputs and results'!$C$79*(W24)," ")</f>
        <v>3630.2314048445437</v>
      </c>
      <c r="Y25" s="4">
        <f t="shared" si="2"/>
        <v>0</v>
      </c>
      <c r="Z25" s="4">
        <f>IF(A25&lt;('2. Inputs and results'!$C$21+1),Z24+((C25-$V$6+Y25)/((1+$P$2)^A25)),NA())</f>
        <v>65892.201348008428</v>
      </c>
      <c r="AA25" s="4">
        <f>IF(A25&lt;('2. Inputs and results'!$C$21+1),AA24+G25+I25+H25+T25-$V$6," ")</f>
        <v>832943.05859006732</v>
      </c>
      <c r="AB25" s="20">
        <f>IF(A25&lt;('2. Inputs and results'!$C$21+1),AA25/L25,NA())</f>
        <v>3.9197320404238463</v>
      </c>
      <c r="AC25" s="29">
        <f>IF(A25&lt;('2. Inputs and results'!$C$21+1),AC24+C25+Y25-$V$6," ")</f>
        <v>416111.57024222717</v>
      </c>
      <c r="AD25" s="20">
        <f>IF(A25&lt;('2. Inputs and results'!$C$21+1),AC25/L25,NA())</f>
        <v>1.9581720952575397</v>
      </c>
      <c r="AE25">
        <f>IF(A25&lt;('2. Inputs and results'!$C$21+1),-'2. Inputs and results'!$C$121*A25," ")</f>
        <v>-920000</v>
      </c>
      <c r="AF25">
        <f>IF(A25&lt;('2. Inputs and results'!$C$21+1),AE25/1000,NA())</f>
        <v>-920</v>
      </c>
    </row>
    <row r="26" spans="1:32" x14ac:dyDescent="0.25">
      <c r="A26">
        <f t="shared" si="0"/>
        <v>21</v>
      </c>
      <c r="B26" t="str">
        <f>IF(A26&lt;('2. Inputs and results'!$C$21+1),A26," ")</f>
        <v xml:space="preserve"> </v>
      </c>
      <c r="C26" s="4" t="str">
        <f>IF(A26&lt;('2. Inputs and results'!$C$21+1),'2. Inputs and results'!$C$99+'2. Inputs and results'!$C$101," ")</f>
        <v xml:space="preserve"> </v>
      </c>
      <c r="D26" s="4" t="e">
        <f>IF(A26&lt;('2. Inputs and results'!$C$21+1),D25+C26,NA())</f>
        <v>#N/A</v>
      </c>
      <c r="E26" s="4" t="str">
        <f>IF(A26&lt;('2. Inputs and results'!$C$21+1),C26/((1+$P$2)^A26)," ")</f>
        <v xml:space="preserve"> </v>
      </c>
      <c r="F26" s="4" t="str">
        <f>IF(B26&lt;('2. Inputs and results'!$C$21+1),F25+E26," ")</f>
        <v xml:space="preserve"> </v>
      </c>
      <c r="G26" s="4" t="str">
        <f>IF(A26&lt;('2. Inputs and results'!$C$21+1),G25*(1+'2. Inputs and results'!$C$46)," ")</f>
        <v xml:space="preserve"> </v>
      </c>
      <c r="H26" s="4" t="str">
        <f>IF(A26&lt;('2. Inputs and results'!$C$21+1),H25*(1+'2. Inputs and results'!$C$58)," ")</f>
        <v xml:space="preserve"> </v>
      </c>
      <c r="I26" s="4" t="str">
        <f>IF(A26&lt;('2. Inputs and results'!$C$21+1),I25*(1+'2. Inputs and results'!$C$34)," ")</f>
        <v xml:space="preserve"> </v>
      </c>
      <c r="J26" s="4" t="str">
        <f>IF(A26&lt;('2. Inputs and results'!$C$21+1),J25*(1+'2. Inputs and results'!$C$68)," ")</f>
        <v xml:space="preserve"> </v>
      </c>
      <c r="K26" s="4" t="e">
        <f>IF(A26&lt;('2. Inputs and results'!$C$21+1),K25+(G26+I26+H26+J26),NA())</f>
        <v>#N/A</v>
      </c>
      <c r="L26" s="4" t="e">
        <f>IF(A26&lt;('2. Inputs and results'!$C$21+1),L25,NA())</f>
        <v>#N/A</v>
      </c>
      <c r="M26" s="4" t="str">
        <f>IF(A26&lt;('2. Inputs and results'!$C$21+1),'2. Inputs and results'!$C$75*'2. Inputs and results'!$C$73," ")</f>
        <v xml:space="preserve"> </v>
      </c>
      <c r="N26" s="4" t="str">
        <f>IF(A26&lt;('2. Inputs and results'!$C$21+1),M26/((1+$P$2)^A26)," ")</f>
        <v xml:space="preserve"> </v>
      </c>
      <c r="O26" s="4" t="str">
        <f>IF(A26&lt;('2. Inputs and results'!$C$21+1),'2. Inputs and results'!$C$73*'2. Inputs and results'!$C$75+O25," ")</f>
        <v xml:space="preserve"> </v>
      </c>
      <c r="P26" s="4" t="str">
        <f>IF(A26&lt;('2. Inputs and results'!$C$21+1),(G26+I26+H26+J26)/((1+$P$2)^A26)," ")</f>
        <v xml:space="preserve"> </v>
      </c>
      <c r="Q26" s="4" t="str">
        <f>IF(A26&lt;('2. Inputs and results'!$C$21+1),Q25+P26," ")</f>
        <v xml:space="preserve"> </v>
      </c>
      <c r="R26" s="4" t="e">
        <f>IF(A26&lt;('2. Inputs and results'!$C$21+1),R25+G26+I26+H26+J26+T26-$V$6,NA())</f>
        <v>#N/A</v>
      </c>
      <c r="S26" s="4" t="str">
        <f>IF(A26&lt;('2. Inputs and results'!$C$21+1),'2. Inputs and results'!$C$79*(R25)," ")</f>
        <v xml:space="preserve"> </v>
      </c>
      <c r="T26" s="4">
        <f t="shared" si="1"/>
        <v>0</v>
      </c>
      <c r="U26" s="4" t="e">
        <f>IF(A26&lt;('2. Inputs and results'!$C$21+1),U25+((G26+I26+H26+J26-$V$6+T26)/((1+$P$2)^A26)),NA())</f>
        <v>#N/A</v>
      </c>
      <c r="V26" s="4" t="str">
        <f>IF(A26&lt;('2. Inputs and results'!$C$21+1),V25+('2. Inputs and results'!$C$75*'2. Inputs and results'!$C$73)," ")</f>
        <v xml:space="preserve"> </v>
      </c>
      <c r="W26" s="4" t="e">
        <f>IF(A26&lt;('2. Inputs and results'!$C$21+1),W25+C26+Y26-$V$6,NA())</f>
        <v>#N/A</v>
      </c>
      <c r="X26" s="4" t="str">
        <f>IF(A26&lt;('2. Inputs and results'!$C$21+1),'2. Inputs and results'!$C$79*(W25)," ")</f>
        <v xml:space="preserve"> </v>
      </c>
      <c r="Y26" s="4">
        <f t="shared" si="2"/>
        <v>0</v>
      </c>
      <c r="Z26" s="4" t="e">
        <f>IF(A26&lt;('2. Inputs and results'!$C$21+1),Z25+((C26-$V$6+Y26)/((1+$P$2)^A26)),NA())</f>
        <v>#N/A</v>
      </c>
      <c r="AA26" s="4" t="str">
        <f>IF(A26&lt;('2. Inputs and results'!$C$21+1),AA25+G26+I26+H26+T26-$V$6," ")</f>
        <v xml:space="preserve"> </v>
      </c>
      <c r="AB26" s="20" t="e">
        <f>IF(A26&lt;('2. Inputs and results'!$C$21+1),AA26/L26,NA())</f>
        <v>#N/A</v>
      </c>
      <c r="AC26" s="29" t="str">
        <f>IF(A26&lt;('2. Inputs and results'!$C$21+1),AC25+C26+Y26-$V$6," ")</f>
        <v xml:space="preserve"> </v>
      </c>
      <c r="AD26" s="20" t="e">
        <f>IF(A26&lt;('2. Inputs and results'!$C$21+1),AC26/L26,NA())</f>
        <v>#N/A</v>
      </c>
      <c r="AE26" t="str">
        <f>IF(A26&lt;('2. Inputs and results'!$C$21+1),-'2. Inputs and results'!$C$121*A26," ")</f>
        <v xml:space="preserve"> </v>
      </c>
      <c r="AF26" t="e">
        <f>IF(A26&lt;('2. Inputs and results'!$C$21+1),AE26/1000,NA())</f>
        <v>#N/A</v>
      </c>
    </row>
    <row r="27" spans="1:32" x14ac:dyDescent="0.25">
      <c r="A27">
        <f t="shared" si="0"/>
        <v>22</v>
      </c>
      <c r="B27" t="str">
        <f>IF(A27&lt;('2. Inputs and results'!$C$21+1),A27," ")</f>
        <v xml:space="preserve"> </v>
      </c>
      <c r="C27" s="4" t="str">
        <f>IF(A27&lt;('2. Inputs and results'!$C$21+1),'2. Inputs and results'!$C$99+'2. Inputs and results'!$C$101," ")</f>
        <v xml:space="preserve"> </v>
      </c>
      <c r="D27" s="4" t="e">
        <f>IF(A27&lt;('2. Inputs and results'!$C$21+1),D26+C27,NA())</f>
        <v>#N/A</v>
      </c>
      <c r="E27" s="4" t="str">
        <f>IF(A27&lt;('2. Inputs and results'!$C$21+1),C27/((1+$P$2)^A27)," ")</f>
        <v xml:space="preserve"> </v>
      </c>
      <c r="F27" s="4" t="str">
        <f>IF(B27&lt;('2. Inputs and results'!$C$21+1),F26+E27," ")</f>
        <v xml:space="preserve"> </v>
      </c>
      <c r="G27" s="4" t="str">
        <f>IF(A27&lt;('2. Inputs and results'!$C$21+1),G26*(1+'2. Inputs and results'!$C$46)," ")</f>
        <v xml:space="preserve"> </v>
      </c>
      <c r="H27" s="4" t="str">
        <f>IF(A27&lt;('2. Inputs and results'!$C$21+1),H26*(1+'2. Inputs and results'!$C$58)," ")</f>
        <v xml:space="preserve"> </v>
      </c>
      <c r="I27" s="4" t="str">
        <f>IF(A27&lt;('2. Inputs and results'!$C$21+1),I26*(1+'2. Inputs and results'!$C$34)," ")</f>
        <v xml:space="preserve"> </v>
      </c>
      <c r="J27" s="4" t="str">
        <f>IF(A27&lt;('2. Inputs and results'!$C$21+1),J26*(1+'2. Inputs and results'!$C$68)," ")</f>
        <v xml:space="preserve"> </v>
      </c>
      <c r="K27" s="4" t="e">
        <f>IF(A27&lt;('2. Inputs and results'!$C$21+1),K26+(G27+I27+H27+J27),NA())</f>
        <v>#N/A</v>
      </c>
      <c r="L27" s="4" t="e">
        <f>IF(A27&lt;('2. Inputs and results'!$C$21+1),L26,NA())</f>
        <v>#N/A</v>
      </c>
      <c r="M27" s="4" t="str">
        <f>IF(A27&lt;('2. Inputs and results'!$C$21+1),'2. Inputs and results'!$C$75*'2. Inputs and results'!$C$73," ")</f>
        <v xml:space="preserve"> </v>
      </c>
      <c r="N27" s="4" t="str">
        <f>IF(A27&lt;('2. Inputs and results'!$C$21+1),M27/((1+$P$2)^A27)," ")</f>
        <v xml:space="preserve"> </v>
      </c>
      <c r="O27" s="4" t="str">
        <f>IF(A27&lt;('2. Inputs and results'!$C$21+1),'2. Inputs and results'!$C$73*'2. Inputs and results'!$C$75+O26," ")</f>
        <v xml:space="preserve"> </v>
      </c>
      <c r="P27" s="4" t="str">
        <f>IF(A27&lt;('2. Inputs and results'!$C$21+1),(G27+I27+H27+J27)/((1+$P$2)^A27)," ")</f>
        <v xml:space="preserve"> </v>
      </c>
      <c r="Q27" s="4" t="str">
        <f>IF(A27&lt;('2. Inputs and results'!$C$21+1),Q26+P27," ")</f>
        <v xml:space="preserve"> </v>
      </c>
      <c r="R27" s="4" t="e">
        <f>IF(A27&lt;('2. Inputs and results'!$C$21+1),R26+G27+I27+H27+J27+T27-$V$6,NA())</f>
        <v>#N/A</v>
      </c>
      <c r="S27" s="4" t="str">
        <f>IF(A27&lt;('2. Inputs and results'!$C$21+1),'2. Inputs and results'!$C$79*(R26)," ")</f>
        <v xml:space="preserve"> </v>
      </c>
      <c r="T27" s="4">
        <f t="shared" si="1"/>
        <v>0</v>
      </c>
      <c r="U27" s="4" t="e">
        <f>IF(A27&lt;('2. Inputs and results'!$C$21+1),U26+((G27+I27+H27+J27-$V$6+T27)/((1+$P$2)^A27)),NA())</f>
        <v>#N/A</v>
      </c>
      <c r="V27" s="4" t="str">
        <f>IF(A27&lt;('2. Inputs and results'!$C$21+1),V26+('2. Inputs and results'!$C$75*'2. Inputs and results'!$C$73)," ")</f>
        <v xml:space="preserve"> </v>
      </c>
      <c r="W27" s="4" t="e">
        <f>IF(A27&lt;('2. Inputs and results'!$C$21+1),W26+C27+Y27-$V$6,NA())</f>
        <v>#N/A</v>
      </c>
      <c r="X27" s="4" t="str">
        <f>IF(A27&lt;('2. Inputs and results'!$C$21+1),'2. Inputs and results'!$C$79*(W26)," ")</f>
        <v xml:space="preserve"> </v>
      </c>
      <c r="Y27" s="4">
        <f t="shared" si="2"/>
        <v>0</v>
      </c>
      <c r="Z27" s="4" t="e">
        <f>IF(A27&lt;('2. Inputs and results'!$C$21+1),Z26+((C27-$V$6+Y27)/((1+$P$2)^A27)),NA())</f>
        <v>#N/A</v>
      </c>
      <c r="AA27" s="4" t="str">
        <f>IF(A27&lt;('2. Inputs and results'!$C$21+1),AA26+G27+I27+H27+T27-$V$6," ")</f>
        <v xml:space="preserve"> </v>
      </c>
      <c r="AB27" s="20" t="e">
        <f>IF(A27&lt;('2. Inputs and results'!$C$21+1),AA27/L27,NA())</f>
        <v>#N/A</v>
      </c>
      <c r="AC27" s="29" t="str">
        <f>IF(A27&lt;('2. Inputs and results'!$C$21+1),AC26+C27+Y27-$V$6," ")</f>
        <v xml:space="preserve"> </v>
      </c>
      <c r="AD27" s="20" t="e">
        <f>IF(A27&lt;('2. Inputs and results'!$C$21+1),AC27/L27,NA())</f>
        <v>#N/A</v>
      </c>
      <c r="AE27" t="str">
        <f>IF(A27&lt;('2. Inputs and results'!$C$21+1),-'2. Inputs and results'!$C$121*A27," ")</f>
        <v xml:space="preserve"> </v>
      </c>
      <c r="AF27" t="e">
        <f>IF(A27&lt;('2. Inputs and results'!$C$21+1),AE27/1000,NA())</f>
        <v>#N/A</v>
      </c>
    </row>
    <row r="28" spans="1:32" x14ac:dyDescent="0.25">
      <c r="A28">
        <f t="shared" si="0"/>
        <v>23</v>
      </c>
      <c r="B28" t="str">
        <f>IF(A28&lt;('2. Inputs and results'!$C$21+1),A28," ")</f>
        <v xml:space="preserve"> </v>
      </c>
      <c r="C28" s="4" t="str">
        <f>IF(A28&lt;('2. Inputs and results'!$C$21+1),'2. Inputs and results'!$C$99+'2. Inputs and results'!$C$101," ")</f>
        <v xml:space="preserve"> </v>
      </c>
      <c r="D28" s="4" t="e">
        <f>IF(A28&lt;('2. Inputs and results'!$C$21+1),D27+C28,NA())</f>
        <v>#N/A</v>
      </c>
      <c r="E28" s="4" t="str">
        <f>IF(A28&lt;('2. Inputs and results'!$C$21+1),C28/((1+$P$2)^A28)," ")</f>
        <v xml:space="preserve"> </v>
      </c>
      <c r="F28" s="4" t="str">
        <f>IF(B28&lt;('2. Inputs and results'!$C$21+1),F27+E28," ")</f>
        <v xml:space="preserve"> </v>
      </c>
      <c r="G28" s="4" t="str">
        <f>IF(A28&lt;('2. Inputs and results'!$C$21+1),G27*(1+'2. Inputs and results'!$C$46)," ")</f>
        <v xml:space="preserve"> </v>
      </c>
      <c r="H28" s="4" t="str">
        <f>IF(A28&lt;('2. Inputs and results'!$C$21+1),H27*(1+'2. Inputs and results'!$C$58)," ")</f>
        <v xml:space="preserve"> </v>
      </c>
      <c r="I28" s="4" t="str">
        <f>IF(A28&lt;('2. Inputs and results'!$C$21+1),I27*(1+'2. Inputs and results'!$C$34)," ")</f>
        <v xml:space="preserve"> </v>
      </c>
      <c r="J28" s="4" t="str">
        <f>IF(A28&lt;('2. Inputs and results'!$C$21+1),J27*(1+'2. Inputs and results'!$C$68)," ")</f>
        <v xml:space="preserve"> </v>
      </c>
      <c r="K28" s="4" t="e">
        <f>IF(A28&lt;('2. Inputs and results'!$C$21+1),K27+(G28+I28+H28+J28),NA())</f>
        <v>#N/A</v>
      </c>
      <c r="L28" s="4" t="e">
        <f>IF(A28&lt;('2. Inputs and results'!$C$21+1),L27,NA())</f>
        <v>#N/A</v>
      </c>
      <c r="M28" s="4" t="str">
        <f>IF(A28&lt;('2. Inputs and results'!$C$21+1),'2. Inputs and results'!$C$75*'2. Inputs and results'!$C$73," ")</f>
        <v xml:space="preserve"> </v>
      </c>
      <c r="N28" s="4" t="str">
        <f>IF(A28&lt;('2. Inputs and results'!$C$21+1),M28/((1+$P$2)^A28)," ")</f>
        <v xml:space="preserve"> </v>
      </c>
      <c r="O28" s="4" t="str">
        <f>IF(A28&lt;('2. Inputs and results'!$C$21+1),'2. Inputs and results'!$C$73*'2. Inputs and results'!$C$75+O27," ")</f>
        <v xml:space="preserve"> </v>
      </c>
      <c r="P28" s="4" t="str">
        <f>IF(A28&lt;('2. Inputs and results'!$C$21+1),(G28+I28+H28+J28)/((1+$P$2)^A28)," ")</f>
        <v xml:space="preserve"> </v>
      </c>
      <c r="Q28" s="4" t="str">
        <f>IF(A28&lt;('2. Inputs and results'!$C$21+1),Q27+P28," ")</f>
        <v xml:space="preserve"> </v>
      </c>
      <c r="R28" s="4" t="e">
        <f>IF(A28&lt;('2. Inputs and results'!$C$21+1),R27+G28+I28+H28+J28+T28-$V$6,NA())</f>
        <v>#N/A</v>
      </c>
      <c r="S28" s="4" t="str">
        <f>IF(A28&lt;('2. Inputs and results'!$C$21+1),'2. Inputs and results'!$C$79*(R27)," ")</f>
        <v xml:space="preserve"> </v>
      </c>
      <c r="T28" s="4">
        <f t="shared" si="1"/>
        <v>0</v>
      </c>
      <c r="U28" s="4" t="e">
        <f>IF(A28&lt;('2. Inputs and results'!$C$21+1),U27+((G28+I28+H28+J28-$V$6+T28)/((1+$P$2)^A28)),NA())</f>
        <v>#N/A</v>
      </c>
      <c r="V28" s="4" t="str">
        <f>IF(A28&lt;('2. Inputs and results'!$C$21+1),V27+('2. Inputs and results'!$C$75*'2. Inputs and results'!$C$73)," ")</f>
        <v xml:space="preserve"> </v>
      </c>
      <c r="W28" s="4" t="e">
        <f>IF(A28&lt;('2. Inputs and results'!$C$21+1),W27+C28+Y28-$V$6,NA())</f>
        <v>#N/A</v>
      </c>
      <c r="X28" s="4" t="str">
        <f>IF(A28&lt;('2. Inputs and results'!$C$21+1),'2. Inputs and results'!$C$79*(W27)," ")</f>
        <v xml:space="preserve"> </v>
      </c>
      <c r="Y28" s="4">
        <f t="shared" si="2"/>
        <v>0</v>
      </c>
      <c r="Z28" s="4" t="e">
        <f>IF(A28&lt;('2. Inputs and results'!$C$21+1),Z27+((C28-$V$6+Y28)/((1+$P$2)^A28)),NA())</f>
        <v>#N/A</v>
      </c>
      <c r="AA28" s="4" t="str">
        <f>IF(A28&lt;('2. Inputs and results'!$C$21+1),AA27+G28+I28+H28+T28-$V$6," ")</f>
        <v xml:space="preserve"> </v>
      </c>
      <c r="AB28" s="20" t="e">
        <f>IF(A28&lt;('2. Inputs and results'!$C$21+1),AA28/L28,NA())</f>
        <v>#N/A</v>
      </c>
      <c r="AC28" s="29" t="str">
        <f>IF(A28&lt;('2. Inputs and results'!$C$21+1),AC27+C28+Y28-$V$6," ")</f>
        <v xml:space="preserve"> </v>
      </c>
      <c r="AD28" s="20" t="e">
        <f>IF(A28&lt;('2. Inputs and results'!$C$21+1),AC28/L28,NA())</f>
        <v>#N/A</v>
      </c>
      <c r="AE28" t="str">
        <f>IF(A28&lt;('2. Inputs and results'!$C$21+1),-'2. Inputs and results'!$C$121*A28," ")</f>
        <v xml:space="preserve"> </v>
      </c>
      <c r="AF28" t="e">
        <f>IF(A28&lt;('2. Inputs and results'!$C$21+1),AE28/1000,NA())</f>
        <v>#N/A</v>
      </c>
    </row>
    <row r="29" spans="1:32" x14ac:dyDescent="0.25">
      <c r="A29">
        <f t="shared" si="0"/>
        <v>24</v>
      </c>
      <c r="B29" t="str">
        <f>IF(A29&lt;('2. Inputs and results'!$C$21+1),A29," ")</f>
        <v xml:space="preserve"> </v>
      </c>
      <c r="C29" s="4" t="str">
        <f>IF(A29&lt;('2. Inputs and results'!$C$21+1),'2. Inputs and results'!$C$99+'2. Inputs and results'!$C$101," ")</f>
        <v xml:space="preserve"> </v>
      </c>
      <c r="D29" s="4" t="e">
        <f>IF(A29&lt;('2. Inputs and results'!$C$21+1),D28+C29,NA())</f>
        <v>#N/A</v>
      </c>
      <c r="E29" s="4" t="str">
        <f>IF(A29&lt;('2. Inputs and results'!$C$21+1),C29/((1+$P$2)^A29)," ")</f>
        <v xml:space="preserve"> </v>
      </c>
      <c r="F29" s="4" t="str">
        <f>IF(B29&lt;('2. Inputs and results'!$C$21+1),F28+E29," ")</f>
        <v xml:space="preserve"> </v>
      </c>
      <c r="G29" s="4" t="str">
        <f>IF(A29&lt;('2. Inputs and results'!$C$21+1),G28*(1+'2. Inputs and results'!$C$46)," ")</f>
        <v xml:space="preserve"> </v>
      </c>
      <c r="H29" s="4" t="str">
        <f>IF(A29&lt;('2. Inputs and results'!$C$21+1),H28*(1+'2. Inputs and results'!$C$58)," ")</f>
        <v xml:space="preserve"> </v>
      </c>
      <c r="I29" s="4" t="str">
        <f>IF(A29&lt;('2. Inputs and results'!$C$21+1),I28*(1+'2. Inputs and results'!$C$34)," ")</f>
        <v xml:space="preserve"> </v>
      </c>
      <c r="J29" s="4" t="str">
        <f>IF(A29&lt;('2. Inputs and results'!$C$21+1),J28*(1+'2. Inputs and results'!$C$68)," ")</f>
        <v xml:space="preserve"> </v>
      </c>
      <c r="K29" s="4" t="e">
        <f>IF(A29&lt;('2. Inputs and results'!$C$21+1),K28+(G29+I29+H29+J29),NA())</f>
        <v>#N/A</v>
      </c>
      <c r="L29" s="4" t="e">
        <f>IF(A29&lt;('2. Inputs and results'!$C$21+1),L28,NA())</f>
        <v>#N/A</v>
      </c>
      <c r="M29" s="4" t="str">
        <f>IF(A29&lt;('2. Inputs and results'!$C$21+1),'2. Inputs and results'!$C$75*'2. Inputs and results'!$C$73," ")</f>
        <v xml:space="preserve"> </v>
      </c>
      <c r="N29" s="4" t="str">
        <f>IF(A29&lt;('2. Inputs and results'!$C$21+1),M29/((1+$P$2)^A29)," ")</f>
        <v xml:space="preserve"> </v>
      </c>
      <c r="O29" s="4" t="str">
        <f>IF(A29&lt;('2. Inputs and results'!$C$21+1),'2. Inputs and results'!$C$73*'2. Inputs and results'!$C$75+O28," ")</f>
        <v xml:space="preserve"> </v>
      </c>
      <c r="P29" s="4" t="str">
        <f>IF(A29&lt;('2. Inputs and results'!$C$21+1),(G29+I29+H29+J29)/((1+$P$2)^A29)," ")</f>
        <v xml:space="preserve"> </v>
      </c>
      <c r="Q29" s="4" t="str">
        <f>IF(A29&lt;('2. Inputs and results'!$C$21+1),Q28+P29," ")</f>
        <v xml:space="preserve"> </v>
      </c>
      <c r="R29" s="4" t="e">
        <f>IF(A29&lt;('2. Inputs and results'!$C$21+1),R28+G29+I29+H29+J29+T29-$V$6,NA())</f>
        <v>#N/A</v>
      </c>
      <c r="S29" s="4" t="str">
        <f>IF(A29&lt;('2. Inputs and results'!$C$21+1),'2. Inputs and results'!$C$79*(R28)," ")</f>
        <v xml:space="preserve"> </v>
      </c>
      <c r="T29" s="4">
        <f t="shared" si="1"/>
        <v>0</v>
      </c>
      <c r="U29" s="4" t="e">
        <f>IF(A29&lt;('2. Inputs and results'!$C$21+1),U28+((G29+I29+H29+J29-$V$6+T29)/((1+$P$2)^A29)),NA())</f>
        <v>#N/A</v>
      </c>
      <c r="V29" s="4" t="str">
        <f>IF(A29&lt;('2. Inputs and results'!$C$21+1),V28+('2. Inputs and results'!$C$75*'2. Inputs and results'!$C$73)," ")</f>
        <v xml:space="preserve"> </v>
      </c>
      <c r="W29" s="4" t="e">
        <f>IF(A29&lt;('2. Inputs and results'!$C$21+1),W28+C29+Y29-$V$6,NA())</f>
        <v>#N/A</v>
      </c>
      <c r="X29" s="4" t="str">
        <f>IF(A29&lt;('2. Inputs and results'!$C$21+1),'2. Inputs and results'!$C$79*(W28)," ")</f>
        <v xml:space="preserve"> </v>
      </c>
      <c r="Y29" s="4">
        <f t="shared" si="2"/>
        <v>0</v>
      </c>
      <c r="Z29" s="4" t="e">
        <f>IF(A29&lt;('2. Inputs and results'!$C$21+1),Z28+((C29-$V$6+Y29)/((1+$P$2)^A29)),NA())</f>
        <v>#N/A</v>
      </c>
      <c r="AA29" s="4" t="str">
        <f>IF(A29&lt;('2. Inputs and results'!$C$21+1),AA28+G29+I29+H29+T29-$V$6," ")</f>
        <v xml:space="preserve"> </v>
      </c>
      <c r="AB29" s="20" t="e">
        <f>IF(A29&lt;('2. Inputs and results'!$C$21+1),AA29/L29,NA())</f>
        <v>#N/A</v>
      </c>
      <c r="AC29" s="29" t="str">
        <f>IF(A29&lt;('2. Inputs and results'!$C$21+1),AC28+C29+Y29-$V$6," ")</f>
        <v xml:space="preserve"> </v>
      </c>
      <c r="AD29" s="20" t="e">
        <f>IF(A29&lt;('2. Inputs and results'!$C$21+1),AC29/L29,NA())</f>
        <v>#N/A</v>
      </c>
      <c r="AE29" t="str">
        <f>IF(A29&lt;('2. Inputs and results'!$C$21+1),-'2. Inputs and results'!$C$121*A29," ")</f>
        <v xml:space="preserve"> </v>
      </c>
      <c r="AF29" t="e">
        <f>IF(A29&lt;('2. Inputs and results'!$C$21+1),AE29/1000,NA())</f>
        <v>#N/A</v>
      </c>
    </row>
    <row r="30" spans="1:32" x14ac:dyDescent="0.25">
      <c r="A30">
        <f t="shared" si="0"/>
        <v>25</v>
      </c>
      <c r="B30" t="str">
        <f>IF(A30&lt;('2. Inputs and results'!$C$21+1),A30," ")</f>
        <v xml:space="preserve"> </v>
      </c>
      <c r="C30" s="4" t="str">
        <f>IF(A30&lt;('2. Inputs and results'!$C$21+1),'2. Inputs and results'!$C$99+'2. Inputs and results'!$C$101," ")</f>
        <v xml:space="preserve"> </v>
      </c>
      <c r="D30" s="4" t="e">
        <f>IF(A30&lt;('2. Inputs and results'!$C$21+1),D29+C30,NA())</f>
        <v>#N/A</v>
      </c>
      <c r="E30" s="4" t="str">
        <f>IF(A30&lt;('2. Inputs and results'!$C$21+1),C30/((1+$P$2)^A30)," ")</f>
        <v xml:space="preserve"> </v>
      </c>
      <c r="F30" s="4" t="str">
        <f>IF(B30&lt;('2. Inputs and results'!$C$21+1),F29+E30," ")</f>
        <v xml:space="preserve"> </v>
      </c>
      <c r="G30" s="4" t="str">
        <f>IF(A30&lt;('2. Inputs and results'!$C$21+1),G29*(1+'2. Inputs and results'!$C$46)," ")</f>
        <v xml:space="preserve"> </v>
      </c>
      <c r="H30" s="4" t="str">
        <f>IF(A30&lt;('2. Inputs and results'!$C$21+1),H29*(1+'2. Inputs and results'!$C$58)," ")</f>
        <v xml:space="preserve"> </v>
      </c>
      <c r="I30" s="4" t="str">
        <f>IF(A30&lt;('2. Inputs and results'!$C$21+1),I29*(1+'2. Inputs and results'!$C$34)," ")</f>
        <v xml:space="preserve"> </v>
      </c>
      <c r="J30" s="4" t="str">
        <f>IF(A30&lt;('2. Inputs and results'!$C$21+1),J29*(1+'2. Inputs and results'!$C$68)," ")</f>
        <v xml:space="preserve"> </v>
      </c>
      <c r="K30" s="4" t="e">
        <f>IF(A30&lt;('2. Inputs and results'!$C$21+1),K29+(G30+I30+H30+J30),NA())</f>
        <v>#N/A</v>
      </c>
      <c r="L30" s="4" t="e">
        <f>IF(A30&lt;('2. Inputs and results'!$C$21+1),L29,NA())</f>
        <v>#N/A</v>
      </c>
      <c r="M30" s="4" t="str">
        <f>IF(A30&lt;('2. Inputs and results'!$C$21+1),'2. Inputs and results'!$C$75*'2. Inputs and results'!$C$73," ")</f>
        <v xml:space="preserve"> </v>
      </c>
      <c r="N30" s="4" t="str">
        <f>IF(A30&lt;('2. Inputs and results'!$C$21+1),M30/((1+$P$2)^A30)," ")</f>
        <v xml:space="preserve"> </v>
      </c>
      <c r="O30" s="4" t="str">
        <f>IF(A30&lt;('2. Inputs and results'!$C$21+1),'2. Inputs and results'!$C$73*'2. Inputs and results'!$C$75+O29," ")</f>
        <v xml:space="preserve"> </v>
      </c>
      <c r="P30" s="4" t="str">
        <f>IF(A30&lt;('2. Inputs and results'!$C$21+1),(G30+I30+H30+J30)/((1+$P$2)^A30)," ")</f>
        <v xml:space="preserve"> </v>
      </c>
      <c r="Q30" s="4" t="str">
        <f>IF(A30&lt;('2. Inputs and results'!$C$21+1),Q29+P30," ")</f>
        <v xml:space="preserve"> </v>
      </c>
      <c r="R30" s="4" t="e">
        <f>IF(A30&lt;('2. Inputs and results'!$C$21+1),R29+G30+I30+H30+J30+T30-$V$6,NA())</f>
        <v>#N/A</v>
      </c>
      <c r="S30" s="4" t="str">
        <f>IF(A30&lt;('2. Inputs and results'!$C$21+1),'2. Inputs and results'!$C$79*(R29)," ")</f>
        <v xml:space="preserve"> </v>
      </c>
      <c r="T30" s="4">
        <f t="shared" si="1"/>
        <v>0</v>
      </c>
      <c r="U30" s="4" t="e">
        <f>IF(A30&lt;('2. Inputs and results'!$C$21+1),U29+((G30+I30+H30+J30-$V$6+T30)/((1+$P$2)^A30)),NA())</f>
        <v>#N/A</v>
      </c>
      <c r="V30" s="4" t="str">
        <f>IF(A30&lt;('2. Inputs and results'!$C$21+1),V29+('2. Inputs and results'!$C$75*'2. Inputs and results'!$C$73)," ")</f>
        <v xml:space="preserve"> </v>
      </c>
      <c r="W30" s="4" t="e">
        <f>IF(A30&lt;('2. Inputs and results'!$C$21+1),W29+C30+Y30-$V$6,NA())</f>
        <v>#N/A</v>
      </c>
      <c r="X30" s="4" t="str">
        <f>IF(A30&lt;('2. Inputs and results'!$C$21+1),'2. Inputs and results'!$C$79*(W29)," ")</f>
        <v xml:space="preserve"> </v>
      </c>
      <c r="Y30" s="4">
        <f t="shared" si="2"/>
        <v>0</v>
      </c>
      <c r="Z30" s="4" t="e">
        <f>IF(A30&lt;('2. Inputs and results'!$C$21+1),Z29+((C30-$V$6+Y30)/((1+$P$2)^A30)),NA())</f>
        <v>#N/A</v>
      </c>
      <c r="AA30" s="4" t="str">
        <f>IF(A30&lt;('2. Inputs and results'!$C$21+1),AA29+G30+I30+H30+T30-$V$6," ")</f>
        <v xml:space="preserve"> </v>
      </c>
      <c r="AB30" s="20" t="e">
        <f>IF(A30&lt;('2. Inputs and results'!$C$21+1),AA30/L30,NA())</f>
        <v>#N/A</v>
      </c>
      <c r="AC30" s="29" t="str">
        <f>IF(A30&lt;('2. Inputs and results'!$C$21+1),AC29+C30+Y30-$V$6," ")</f>
        <v xml:space="preserve"> </v>
      </c>
      <c r="AD30" s="20" t="e">
        <f>IF(A30&lt;('2. Inputs and results'!$C$21+1),AC30/L30,NA())</f>
        <v>#N/A</v>
      </c>
      <c r="AE30" t="str">
        <f>IF(A30&lt;('2. Inputs and results'!$C$21+1),-'2. Inputs and results'!$C$121*A30," ")</f>
        <v xml:space="preserve"> </v>
      </c>
      <c r="AF30" t="e">
        <f>IF(A30&lt;('2. Inputs and results'!$C$21+1),AE30/1000,NA())</f>
        <v>#N/A</v>
      </c>
    </row>
    <row r="31" spans="1:32" x14ac:dyDescent="0.25">
      <c r="A31">
        <f t="shared" si="0"/>
        <v>26</v>
      </c>
      <c r="B31" t="str">
        <f>IF(A31&lt;('2. Inputs and results'!$C$21+1),A31," ")</f>
        <v xml:space="preserve"> </v>
      </c>
      <c r="C31" s="4" t="str">
        <f>IF(A31&lt;('2. Inputs and results'!$C$21+1),'2. Inputs and results'!$C$99+'2. Inputs and results'!$C$101," ")</f>
        <v xml:space="preserve"> </v>
      </c>
      <c r="D31" s="4" t="e">
        <f>IF(A31&lt;('2. Inputs and results'!$C$21+1),D30+C31,NA())</f>
        <v>#N/A</v>
      </c>
      <c r="E31" s="4" t="str">
        <f>IF(A31&lt;('2. Inputs and results'!$C$21+1),C31/((1+$P$2)^A31)," ")</f>
        <v xml:space="preserve"> </v>
      </c>
      <c r="F31" s="4" t="str">
        <f>IF(B31&lt;('2. Inputs and results'!$C$21+1),F30+E31," ")</f>
        <v xml:space="preserve"> </v>
      </c>
      <c r="G31" s="4" t="str">
        <f>IF(A31&lt;('2. Inputs and results'!$C$21+1),G30*(1+'2. Inputs and results'!$C$46)," ")</f>
        <v xml:space="preserve"> </v>
      </c>
      <c r="H31" s="4" t="str">
        <f>IF(A31&lt;('2. Inputs and results'!$C$21+1),H30*(1+'2. Inputs and results'!$C$58)," ")</f>
        <v xml:space="preserve"> </v>
      </c>
      <c r="I31" s="4" t="str">
        <f>IF(A31&lt;('2. Inputs and results'!$C$21+1),I30*(1+'2. Inputs and results'!$C$34)," ")</f>
        <v xml:space="preserve"> </v>
      </c>
      <c r="J31" s="4" t="str">
        <f>IF(A31&lt;('2. Inputs and results'!$C$21+1),J30*(1+'2. Inputs and results'!$C$68)," ")</f>
        <v xml:space="preserve"> </v>
      </c>
      <c r="K31" s="4" t="e">
        <f>IF(A31&lt;('2. Inputs and results'!$C$21+1),K30+(G31+I31+H31+J31),NA())</f>
        <v>#N/A</v>
      </c>
      <c r="L31" s="4" t="e">
        <f>IF(A31&lt;('2. Inputs and results'!$C$21+1),L30,NA())</f>
        <v>#N/A</v>
      </c>
      <c r="M31" s="4" t="str">
        <f>IF(A31&lt;('2. Inputs and results'!$C$21+1),'2. Inputs and results'!$C$75*'2. Inputs and results'!$C$73," ")</f>
        <v xml:space="preserve"> </v>
      </c>
      <c r="N31" s="4" t="str">
        <f>IF(A31&lt;('2. Inputs and results'!$C$21+1),M31/((1+$P$2)^A31)," ")</f>
        <v xml:space="preserve"> </v>
      </c>
      <c r="O31" s="4" t="str">
        <f>IF(A31&lt;('2. Inputs and results'!$C$21+1),'2. Inputs and results'!$C$73*'2. Inputs and results'!$C$75+O30," ")</f>
        <v xml:space="preserve"> </v>
      </c>
      <c r="P31" s="4" t="str">
        <f>IF(A31&lt;('2. Inputs and results'!$C$21+1),(G31+I31+H31+J31)/((1+$P$2)^A31)," ")</f>
        <v xml:space="preserve"> </v>
      </c>
      <c r="Q31" s="4" t="str">
        <f>IF(A31&lt;('2. Inputs and results'!$C$21+1),Q30+P31," ")</f>
        <v xml:space="preserve"> </v>
      </c>
      <c r="R31" s="4" t="e">
        <f>IF(A31&lt;('2. Inputs and results'!$C$21+1),R30+G31+I31+H31+J31+T31-$V$6,NA())</f>
        <v>#N/A</v>
      </c>
      <c r="S31" s="4" t="str">
        <f>IF(A31&lt;('2. Inputs and results'!$C$21+1),'2. Inputs and results'!$C$79*(R30)," ")</f>
        <v xml:space="preserve"> </v>
      </c>
      <c r="T31" s="4">
        <f t="shared" si="1"/>
        <v>0</v>
      </c>
      <c r="U31" s="4" t="e">
        <f>IF(A31&lt;('2. Inputs and results'!$C$21+1),U30+((G31+I31+H31+J31-$V$6+T31)/((1+$P$2)^A31)),NA())</f>
        <v>#N/A</v>
      </c>
      <c r="V31" s="4" t="str">
        <f>IF(A31&lt;('2. Inputs and results'!$C$21+1),V30+('2. Inputs and results'!$C$75*'2. Inputs and results'!$C$73)," ")</f>
        <v xml:space="preserve"> </v>
      </c>
      <c r="W31" s="4" t="e">
        <f>IF(A31&lt;('2. Inputs and results'!$C$21+1),W30+C31+Y31-$V$6,NA())</f>
        <v>#N/A</v>
      </c>
      <c r="X31" s="4" t="str">
        <f>IF(A31&lt;('2. Inputs and results'!$C$21+1),'2. Inputs and results'!$C$79*(W30)," ")</f>
        <v xml:space="preserve"> </v>
      </c>
      <c r="Y31" s="4">
        <f t="shared" si="2"/>
        <v>0</v>
      </c>
      <c r="Z31" s="4" t="e">
        <f>IF(A31&lt;('2. Inputs and results'!$C$21+1),Z30+((C31-$V$6+Y31)/((1+$P$2)^A31)),NA())</f>
        <v>#N/A</v>
      </c>
      <c r="AA31" s="4" t="str">
        <f>IF(A31&lt;('2. Inputs and results'!$C$21+1),AA30+G31+I31+H31+T31-$V$6," ")</f>
        <v xml:space="preserve"> </v>
      </c>
      <c r="AB31" s="20" t="e">
        <f>IF(A31&lt;('2. Inputs and results'!$C$21+1),AA31/L31,NA())</f>
        <v>#N/A</v>
      </c>
      <c r="AC31" s="29" t="str">
        <f>IF(A31&lt;('2. Inputs and results'!$C$21+1),AC30+C31+Y31-$V$6," ")</f>
        <v xml:space="preserve"> </v>
      </c>
      <c r="AD31" s="20" t="e">
        <f>IF(A31&lt;('2. Inputs and results'!$C$21+1),AC31/L31,NA())</f>
        <v>#N/A</v>
      </c>
      <c r="AE31" t="str">
        <f>IF(A31&lt;('2. Inputs and results'!$C$21+1),-'2. Inputs and results'!$C$121*A31," ")</f>
        <v xml:space="preserve"> </v>
      </c>
      <c r="AF31" t="e">
        <f>IF(A31&lt;('2. Inputs and results'!$C$21+1),AE31/1000,NA())</f>
        <v>#N/A</v>
      </c>
    </row>
    <row r="32" spans="1:32" x14ac:dyDescent="0.25">
      <c r="A32">
        <f t="shared" si="0"/>
        <v>27</v>
      </c>
      <c r="B32" t="str">
        <f>IF(A32&lt;('2. Inputs and results'!$C$21+1),A32," ")</f>
        <v xml:space="preserve"> </v>
      </c>
      <c r="C32" s="4" t="str">
        <f>IF(A32&lt;('2. Inputs and results'!$C$21+1),'2. Inputs and results'!$C$99+'2. Inputs and results'!$C$101," ")</f>
        <v xml:space="preserve"> </v>
      </c>
      <c r="D32" s="4" t="e">
        <f>IF(A32&lt;('2. Inputs and results'!$C$21+1),D31+C32,NA())</f>
        <v>#N/A</v>
      </c>
      <c r="E32" s="4" t="str">
        <f>IF(A32&lt;('2. Inputs and results'!$C$21+1),C32/((1+$P$2)^A32)," ")</f>
        <v xml:space="preserve"> </v>
      </c>
      <c r="F32" s="4" t="str">
        <f>IF(B32&lt;('2. Inputs and results'!$C$21+1),F31+E32," ")</f>
        <v xml:space="preserve"> </v>
      </c>
      <c r="G32" s="4" t="str">
        <f>IF(A32&lt;('2. Inputs and results'!$C$21+1),G31*(1+'2. Inputs and results'!$C$46)," ")</f>
        <v xml:space="preserve"> </v>
      </c>
      <c r="H32" s="4" t="str">
        <f>IF(A32&lt;('2. Inputs and results'!$C$21+1),H31*(1+'2. Inputs and results'!$C$58)," ")</f>
        <v xml:space="preserve"> </v>
      </c>
      <c r="I32" s="4" t="str">
        <f>IF(A32&lt;('2. Inputs and results'!$C$21+1),I31*(1+'2. Inputs and results'!$C$34)," ")</f>
        <v xml:space="preserve"> </v>
      </c>
      <c r="J32" s="4" t="str">
        <f>IF(A32&lt;('2. Inputs and results'!$C$21+1),J31*(1+'2. Inputs and results'!$C$68)," ")</f>
        <v xml:space="preserve"> </v>
      </c>
      <c r="K32" s="4" t="e">
        <f>IF(A32&lt;('2. Inputs and results'!$C$21+1),K31+(G32+I32+H32+J32),NA())</f>
        <v>#N/A</v>
      </c>
      <c r="L32" s="4" t="e">
        <f>IF(A32&lt;('2. Inputs and results'!$C$21+1),L31,NA())</f>
        <v>#N/A</v>
      </c>
      <c r="M32" s="4" t="str">
        <f>IF(A32&lt;('2. Inputs and results'!$C$21+1),'2. Inputs and results'!$C$75*'2. Inputs and results'!$C$73," ")</f>
        <v xml:space="preserve"> </v>
      </c>
      <c r="N32" s="4" t="str">
        <f>IF(A32&lt;('2. Inputs and results'!$C$21+1),M32/((1+$P$2)^A32)," ")</f>
        <v xml:space="preserve"> </v>
      </c>
      <c r="O32" s="4" t="str">
        <f>IF(A32&lt;('2. Inputs and results'!$C$21+1),'2. Inputs and results'!$C$73*'2. Inputs and results'!$C$75+O31," ")</f>
        <v xml:space="preserve"> </v>
      </c>
      <c r="P32" s="4" t="str">
        <f>IF(A32&lt;('2. Inputs and results'!$C$21+1),(G32+I32+H32+J32)/((1+$P$2)^A32)," ")</f>
        <v xml:space="preserve"> </v>
      </c>
      <c r="Q32" s="4" t="str">
        <f>IF(A32&lt;('2. Inputs and results'!$C$21+1),Q31+P32," ")</f>
        <v xml:space="preserve"> </v>
      </c>
      <c r="R32" s="4" t="e">
        <f>IF(A32&lt;('2. Inputs and results'!$C$21+1),R31+G32+I32+H32+J32+T32-$V$6,NA())</f>
        <v>#N/A</v>
      </c>
      <c r="S32" s="4" t="str">
        <f>IF(A32&lt;('2. Inputs and results'!$C$21+1),'2. Inputs and results'!$C$79*(R31)," ")</f>
        <v xml:space="preserve"> </v>
      </c>
      <c r="T32" s="4">
        <f t="shared" si="1"/>
        <v>0</v>
      </c>
      <c r="U32" s="4" t="e">
        <f>IF(A32&lt;('2. Inputs and results'!$C$21+1),U31+((G32+I32+H32+J32-$V$6+T32)/((1+$P$2)^A32)),NA())</f>
        <v>#N/A</v>
      </c>
      <c r="V32" s="4" t="str">
        <f>IF(A32&lt;('2. Inputs and results'!$C$21+1),V31+('2. Inputs and results'!$C$75*'2. Inputs and results'!$C$73)," ")</f>
        <v xml:space="preserve"> </v>
      </c>
      <c r="W32" s="4" t="e">
        <f>IF(A32&lt;('2. Inputs and results'!$C$21+1),W31+C32+Y32-$V$6,NA())</f>
        <v>#N/A</v>
      </c>
      <c r="X32" s="4" t="str">
        <f>IF(A32&lt;('2. Inputs and results'!$C$21+1),'2. Inputs and results'!$C$79*(W31)," ")</f>
        <v xml:space="preserve"> </v>
      </c>
      <c r="Y32" s="4">
        <f t="shared" si="2"/>
        <v>0</v>
      </c>
      <c r="Z32" s="4" t="e">
        <f>IF(A32&lt;('2. Inputs and results'!$C$21+1),Z31+((C32-$V$6+Y32)/((1+$P$2)^A32)),NA())</f>
        <v>#N/A</v>
      </c>
      <c r="AA32" s="4" t="str">
        <f>IF(A32&lt;('2. Inputs and results'!$C$21+1),AA31+G32+I32+H32+T32-$V$6," ")</f>
        <v xml:space="preserve"> </v>
      </c>
      <c r="AB32" s="20" t="e">
        <f>IF(A32&lt;('2. Inputs and results'!$C$21+1),AA32/L32,NA())</f>
        <v>#N/A</v>
      </c>
      <c r="AC32" s="29" t="str">
        <f>IF(A32&lt;('2. Inputs and results'!$C$21+1),AC31+C32+Y32-$V$6," ")</f>
        <v xml:space="preserve"> </v>
      </c>
      <c r="AD32" s="20" t="e">
        <f>IF(A32&lt;('2. Inputs and results'!$C$21+1),AC32/L32,NA())</f>
        <v>#N/A</v>
      </c>
      <c r="AE32" t="str">
        <f>IF(A32&lt;('2. Inputs and results'!$C$21+1),-'2. Inputs and results'!$C$121*A32," ")</f>
        <v xml:space="preserve"> </v>
      </c>
      <c r="AF32" t="e">
        <f>IF(A32&lt;('2. Inputs and results'!$C$21+1),AE32/1000,NA())</f>
        <v>#N/A</v>
      </c>
    </row>
    <row r="33" spans="1:32" x14ac:dyDescent="0.25">
      <c r="A33">
        <f t="shared" si="0"/>
        <v>28</v>
      </c>
      <c r="B33" t="str">
        <f>IF(A33&lt;('2. Inputs and results'!$C$21+1),A33," ")</f>
        <v xml:space="preserve"> </v>
      </c>
      <c r="C33" s="4" t="str">
        <f>IF(A33&lt;('2. Inputs and results'!$C$21+1),'2. Inputs and results'!$C$99+'2. Inputs and results'!$C$101," ")</f>
        <v xml:space="preserve"> </v>
      </c>
      <c r="D33" s="4" t="e">
        <f>IF(A33&lt;('2. Inputs and results'!$C$21+1),D32+C33,NA())</f>
        <v>#N/A</v>
      </c>
      <c r="E33" s="4" t="str">
        <f>IF(A33&lt;('2. Inputs and results'!$C$21+1),C33/((1+$P$2)^A33)," ")</f>
        <v xml:space="preserve"> </v>
      </c>
      <c r="F33" s="4" t="str">
        <f>IF(B33&lt;('2. Inputs and results'!$C$21+1),F32+E33," ")</f>
        <v xml:space="preserve"> </v>
      </c>
      <c r="G33" s="4" t="str">
        <f>IF(A33&lt;('2. Inputs and results'!$C$21+1),G32*(1+'2. Inputs and results'!$C$46)," ")</f>
        <v xml:space="preserve"> </v>
      </c>
      <c r="H33" s="4" t="str">
        <f>IF(A33&lt;('2. Inputs and results'!$C$21+1),H32*(1+'2. Inputs and results'!$C$58)," ")</f>
        <v xml:space="preserve"> </v>
      </c>
      <c r="I33" s="4" t="str">
        <f>IF(A33&lt;('2. Inputs and results'!$C$21+1),I32*(1+'2. Inputs and results'!$C$34)," ")</f>
        <v xml:space="preserve"> </v>
      </c>
      <c r="J33" s="4" t="str">
        <f>IF(A33&lt;('2. Inputs and results'!$C$21+1),J32*(1+'2. Inputs and results'!$C$68)," ")</f>
        <v xml:space="preserve"> </v>
      </c>
      <c r="K33" s="4" t="e">
        <f>IF(A33&lt;('2. Inputs and results'!$C$21+1),K32+(G33+I33+H33+J33),NA())</f>
        <v>#N/A</v>
      </c>
      <c r="L33" s="4" t="e">
        <f>IF(A33&lt;('2. Inputs and results'!$C$21+1),L32,NA())</f>
        <v>#N/A</v>
      </c>
      <c r="M33" s="4" t="str">
        <f>IF(A33&lt;('2. Inputs and results'!$C$21+1),'2. Inputs and results'!$C$75*'2. Inputs and results'!$C$73," ")</f>
        <v xml:space="preserve"> </v>
      </c>
      <c r="N33" s="4" t="str">
        <f>IF(A33&lt;('2. Inputs and results'!$C$21+1),M33/((1+$P$2)^A33)," ")</f>
        <v xml:space="preserve"> </v>
      </c>
      <c r="O33" s="4" t="str">
        <f>IF(A33&lt;('2. Inputs and results'!$C$21+1),'2. Inputs and results'!$C$73*'2. Inputs and results'!$C$75+O32," ")</f>
        <v xml:space="preserve"> </v>
      </c>
      <c r="P33" s="4" t="str">
        <f>IF(A33&lt;('2. Inputs and results'!$C$21+1),(G33+I33+H33+J33)/((1+$P$2)^A33)," ")</f>
        <v xml:space="preserve"> </v>
      </c>
      <c r="Q33" s="4" t="str">
        <f>IF(A33&lt;('2. Inputs and results'!$C$21+1),Q32+P33," ")</f>
        <v xml:space="preserve"> </v>
      </c>
      <c r="R33" s="4" t="e">
        <f>IF(A33&lt;('2. Inputs and results'!$C$21+1),R32+G33+I33+H33+J33+T33-$V$6,NA())</f>
        <v>#N/A</v>
      </c>
      <c r="S33" s="4" t="str">
        <f>IF(A33&lt;('2. Inputs and results'!$C$21+1),'2. Inputs and results'!$C$79*(R32)," ")</f>
        <v xml:space="preserve"> </v>
      </c>
      <c r="T33" s="4">
        <f t="shared" si="1"/>
        <v>0</v>
      </c>
      <c r="U33" s="4" t="e">
        <f>IF(A33&lt;('2. Inputs and results'!$C$21+1),U32+((G33+I33+H33+J33-$V$6+T33)/((1+$P$2)^A33)),NA())</f>
        <v>#N/A</v>
      </c>
      <c r="V33" s="4" t="str">
        <f>IF(A33&lt;('2. Inputs and results'!$C$21+1),V32+('2. Inputs and results'!$C$75*'2. Inputs and results'!$C$73)," ")</f>
        <v xml:space="preserve"> </v>
      </c>
      <c r="W33" s="4" t="e">
        <f>IF(A33&lt;('2. Inputs and results'!$C$21+1),W32+C33+Y33-$V$6,NA())</f>
        <v>#N/A</v>
      </c>
      <c r="X33" s="4" t="str">
        <f>IF(A33&lt;('2. Inputs and results'!$C$21+1),'2. Inputs and results'!$C$79*(W32)," ")</f>
        <v xml:space="preserve"> </v>
      </c>
      <c r="Y33" s="4">
        <f t="shared" si="2"/>
        <v>0</v>
      </c>
      <c r="Z33" s="4" t="e">
        <f>IF(A33&lt;('2. Inputs and results'!$C$21+1),Z32+((C33-$V$6+Y33)/((1+$P$2)^A33)),NA())</f>
        <v>#N/A</v>
      </c>
      <c r="AA33" s="4" t="str">
        <f>IF(A33&lt;('2. Inputs and results'!$C$21+1),AA32+G33+I33+H33+T33-$V$6," ")</f>
        <v xml:space="preserve"> </v>
      </c>
      <c r="AB33" s="20" t="e">
        <f>IF(A33&lt;('2. Inputs and results'!$C$21+1),AA33/L33,NA())</f>
        <v>#N/A</v>
      </c>
      <c r="AC33" s="29" t="str">
        <f>IF(A33&lt;('2. Inputs and results'!$C$21+1),AC32+C33+Y33-$V$6," ")</f>
        <v xml:space="preserve"> </v>
      </c>
      <c r="AD33" s="20" t="e">
        <f>IF(A33&lt;('2. Inputs and results'!$C$21+1),AC33/L33,NA())</f>
        <v>#N/A</v>
      </c>
      <c r="AE33" t="str">
        <f>IF(A33&lt;('2. Inputs and results'!$C$21+1),-'2. Inputs and results'!$C$121*A33," ")</f>
        <v xml:space="preserve"> </v>
      </c>
      <c r="AF33" t="e">
        <f>IF(A33&lt;('2. Inputs and results'!$C$21+1),AE33/1000,NA())</f>
        <v>#N/A</v>
      </c>
    </row>
    <row r="34" spans="1:32" x14ac:dyDescent="0.25">
      <c r="A34">
        <f t="shared" si="0"/>
        <v>29</v>
      </c>
      <c r="B34" t="str">
        <f>IF(A34&lt;('2. Inputs and results'!$C$21+1),A34," ")</f>
        <v xml:space="preserve"> </v>
      </c>
      <c r="C34" s="4" t="str">
        <f>IF(A34&lt;('2. Inputs and results'!$C$21+1),'2. Inputs and results'!$C$99+'2. Inputs and results'!$C$101," ")</f>
        <v xml:space="preserve"> </v>
      </c>
      <c r="D34" s="4" t="e">
        <f>IF(A34&lt;('2. Inputs and results'!$C$21+1),D33+C34,NA())</f>
        <v>#N/A</v>
      </c>
      <c r="E34" s="4" t="str">
        <f>IF(A34&lt;('2. Inputs and results'!$C$21+1),C34/((1+$P$2)^A34)," ")</f>
        <v xml:space="preserve"> </v>
      </c>
      <c r="F34" s="4" t="str">
        <f>IF(B34&lt;('2. Inputs and results'!$C$21+1),F33+E34," ")</f>
        <v xml:space="preserve"> </v>
      </c>
      <c r="G34" s="4" t="str">
        <f>IF(A34&lt;('2. Inputs and results'!$C$21+1),G33*(1+'2. Inputs and results'!$C$46)," ")</f>
        <v xml:space="preserve"> </v>
      </c>
      <c r="H34" s="4" t="str">
        <f>IF(A34&lt;('2. Inputs and results'!$C$21+1),H33*(1+'2. Inputs and results'!$C$58)," ")</f>
        <v xml:space="preserve"> </v>
      </c>
      <c r="I34" s="4" t="str">
        <f>IF(A34&lt;('2. Inputs and results'!$C$21+1),I33*(1+'2. Inputs and results'!$C$34)," ")</f>
        <v xml:space="preserve"> </v>
      </c>
      <c r="J34" s="4" t="str">
        <f>IF(A34&lt;('2. Inputs and results'!$C$21+1),J33*(1+'2. Inputs and results'!$C$68)," ")</f>
        <v xml:space="preserve"> </v>
      </c>
      <c r="K34" s="4" t="e">
        <f>IF(A34&lt;('2. Inputs and results'!$C$21+1),K33+(G34+I34+H34+J34),NA())</f>
        <v>#N/A</v>
      </c>
      <c r="L34" s="4" t="e">
        <f>IF(A34&lt;('2. Inputs and results'!$C$21+1),L33,NA())</f>
        <v>#N/A</v>
      </c>
      <c r="M34" s="4" t="str">
        <f>IF(A34&lt;('2. Inputs and results'!$C$21+1),'2. Inputs and results'!$C$75*'2. Inputs and results'!$C$73," ")</f>
        <v xml:space="preserve"> </v>
      </c>
      <c r="N34" s="4" t="str">
        <f>IF(A34&lt;('2. Inputs and results'!$C$21+1),M34/((1+$P$2)^A34)," ")</f>
        <v xml:space="preserve"> </v>
      </c>
      <c r="O34" s="4" t="str">
        <f>IF(A34&lt;('2. Inputs and results'!$C$21+1),'2. Inputs and results'!$C$73*'2. Inputs and results'!$C$75+O33," ")</f>
        <v xml:space="preserve"> </v>
      </c>
      <c r="P34" s="4" t="str">
        <f>IF(A34&lt;('2. Inputs and results'!$C$21+1),(G34+I34+H34+J34)/((1+$P$2)^A34)," ")</f>
        <v xml:space="preserve"> </v>
      </c>
      <c r="Q34" s="4" t="str">
        <f>IF(A34&lt;('2. Inputs and results'!$C$21+1),Q33+P34," ")</f>
        <v xml:space="preserve"> </v>
      </c>
      <c r="R34" s="4" t="e">
        <f>IF(A34&lt;('2. Inputs and results'!$C$21+1),R33+G34+I34+H34+J34+T34-$V$6,NA())</f>
        <v>#N/A</v>
      </c>
      <c r="S34" s="4" t="str">
        <f>IF(A34&lt;('2. Inputs and results'!$C$21+1),'2. Inputs and results'!$C$79*(R33)," ")</f>
        <v xml:space="preserve"> </v>
      </c>
      <c r="T34" s="4">
        <f t="shared" si="1"/>
        <v>0</v>
      </c>
      <c r="U34" s="4" t="e">
        <f>IF(A34&lt;('2. Inputs and results'!$C$21+1),U33+((G34+I34+H34+J34-$V$6+T34)/((1+$P$2)^A34)),NA())</f>
        <v>#N/A</v>
      </c>
      <c r="V34" s="4" t="str">
        <f>IF(A34&lt;('2. Inputs and results'!$C$21+1),V33+('2. Inputs and results'!$C$75*'2. Inputs and results'!$C$73)," ")</f>
        <v xml:space="preserve"> </v>
      </c>
      <c r="W34" s="4" t="e">
        <f>IF(A34&lt;('2. Inputs and results'!$C$21+1),W33+C34+Y34-$V$6,NA())</f>
        <v>#N/A</v>
      </c>
      <c r="X34" s="4" t="str">
        <f>IF(A34&lt;('2. Inputs and results'!$C$21+1),'2. Inputs and results'!$C$79*(W33)," ")</f>
        <v xml:space="preserve"> </v>
      </c>
      <c r="Y34" s="4">
        <f t="shared" si="2"/>
        <v>0</v>
      </c>
      <c r="Z34" s="4" t="e">
        <f>IF(A34&lt;('2. Inputs and results'!$C$21+1),Z33+((C34-$V$6+Y34)/((1+$P$2)^A34)),NA())</f>
        <v>#N/A</v>
      </c>
      <c r="AA34" s="4" t="str">
        <f>IF(A34&lt;('2. Inputs and results'!$C$21+1),AA33+G34+I34+H34+T34-$V$6," ")</f>
        <v xml:space="preserve"> </v>
      </c>
      <c r="AB34" s="20" t="e">
        <f>IF(A34&lt;('2. Inputs and results'!$C$21+1),AA34/L34,NA())</f>
        <v>#N/A</v>
      </c>
      <c r="AC34" s="29" t="str">
        <f>IF(A34&lt;('2. Inputs and results'!$C$21+1),AC33+C34+Y34-$V$6," ")</f>
        <v xml:space="preserve"> </v>
      </c>
      <c r="AD34" s="20" t="e">
        <f>IF(A34&lt;('2. Inputs and results'!$C$21+1),AC34/L34,NA())</f>
        <v>#N/A</v>
      </c>
      <c r="AE34" t="str">
        <f>IF(A34&lt;('2. Inputs and results'!$C$21+1),-'2. Inputs and results'!$C$121*A34," ")</f>
        <v xml:space="preserve"> </v>
      </c>
      <c r="AF34" t="e">
        <f>IF(A34&lt;('2. Inputs and results'!$C$21+1),AE34/1000,NA())</f>
        <v>#N/A</v>
      </c>
    </row>
    <row r="35" spans="1:32" x14ac:dyDescent="0.25">
      <c r="A35">
        <f t="shared" si="0"/>
        <v>30</v>
      </c>
      <c r="B35" t="str">
        <f>IF(A35&lt;('2. Inputs and results'!$C$21+1),A35," ")</f>
        <v xml:space="preserve"> </v>
      </c>
      <c r="C35" s="4" t="str">
        <f>IF(A35&lt;('2. Inputs and results'!$C$21+1),'2. Inputs and results'!$C$99+'2. Inputs and results'!$C$101," ")</f>
        <v xml:space="preserve"> </v>
      </c>
      <c r="D35" s="4" t="e">
        <f>IF(A35&lt;('2. Inputs and results'!$C$21+1),D34+C35,NA())</f>
        <v>#N/A</v>
      </c>
      <c r="E35" s="4" t="str">
        <f>IF(A35&lt;('2. Inputs and results'!$C$21+1),C35/((1+$P$2)^A35)," ")</f>
        <v xml:space="preserve"> </v>
      </c>
      <c r="F35" s="4" t="str">
        <f>IF(B35&lt;('2. Inputs and results'!$C$21+1),F34+E35," ")</f>
        <v xml:space="preserve"> </v>
      </c>
      <c r="G35" s="4" t="str">
        <f>IF(A35&lt;('2. Inputs and results'!$C$21+1),G34*(1+'2. Inputs and results'!$C$46)," ")</f>
        <v xml:space="preserve"> </v>
      </c>
      <c r="H35" s="4" t="str">
        <f>IF(A35&lt;('2. Inputs and results'!$C$21+1),H34*(1+'2. Inputs and results'!$C$58)," ")</f>
        <v xml:space="preserve"> </v>
      </c>
      <c r="I35" s="4" t="str">
        <f>IF(A35&lt;('2. Inputs and results'!$C$21+1),I34*(1+'2. Inputs and results'!$C$34)," ")</f>
        <v xml:space="preserve"> </v>
      </c>
      <c r="J35" s="4" t="str">
        <f>IF(A35&lt;('2. Inputs and results'!$C$21+1),J34*(1+'2. Inputs and results'!$C$68)," ")</f>
        <v xml:space="preserve"> </v>
      </c>
      <c r="K35" s="4" t="e">
        <f>IF(A35&lt;('2. Inputs and results'!$C$21+1),K34+(G35+I35+H35+J35),NA())</f>
        <v>#N/A</v>
      </c>
      <c r="L35" s="4" t="e">
        <f>IF(A35&lt;('2. Inputs and results'!$C$21+1),L34,NA())</f>
        <v>#N/A</v>
      </c>
      <c r="M35" s="4" t="str">
        <f>IF(A35&lt;('2. Inputs and results'!$C$21+1),'2. Inputs and results'!$C$75*'2. Inputs and results'!$C$73," ")</f>
        <v xml:space="preserve"> </v>
      </c>
      <c r="N35" s="4" t="str">
        <f>IF(A35&lt;('2. Inputs and results'!$C$21+1),M35/((1+$P$2)^A35)," ")</f>
        <v xml:space="preserve"> </v>
      </c>
      <c r="O35" s="4" t="str">
        <f>IF(A35&lt;('2. Inputs and results'!$C$21+1),'2. Inputs and results'!$C$73*'2. Inputs and results'!$C$75+O34," ")</f>
        <v xml:space="preserve"> </v>
      </c>
      <c r="P35" s="4" t="str">
        <f>IF(A35&lt;('2. Inputs and results'!$C$21+1),(G35+I35+H35+J35)/((1+$P$2)^A35)," ")</f>
        <v xml:space="preserve"> </v>
      </c>
      <c r="Q35" s="4" t="str">
        <f>IF(A35&lt;('2. Inputs and results'!$C$21+1),Q34+P35," ")</f>
        <v xml:space="preserve"> </v>
      </c>
      <c r="R35" s="4" t="e">
        <f>IF(A35&lt;('2. Inputs and results'!$C$21+1),R34+G35+I35+H35+J35+T35-$V$6,NA())</f>
        <v>#N/A</v>
      </c>
      <c r="S35" s="4" t="str">
        <f>IF(A35&lt;('2. Inputs and results'!$C$21+1),'2. Inputs and results'!$C$79*(R34)," ")</f>
        <v xml:space="preserve"> </v>
      </c>
      <c r="T35" s="4">
        <f t="shared" si="1"/>
        <v>0</v>
      </c>
      <c r="U35" s="4" t="e">
        <f>IF(A35&lt;('2. Inputs and results'!$C$21+1),U34+((G35+I35+H35+J35-$V$6+T35)/((1+$P$2)^A35)),NA())</f>
        <v>#N/A</v>
      </c>
      <c r="V35" s="4" t="str">
        <f>IF(A35&lt;('2. Inputs and results'!$C$21+1),V34+('2. Inputs and results'!$C$75*'2. Inputs and results'!$C$73)," ")</f>
        <v xml:space="preserve"> </v>
      </c>
      <c r="W35" s="4" t="e">
        <f>IF(A35&lt;('2. Inputs and results'!$C$21+1),W34+C35+Y35-$V$6,NA())</f>
        <v>#N/A</v>
      </c>
      <c r="X35" s="4" t="str">
        <f>IF(A35&lt;('2. Inputs and results'!$C$21+1),'2. Inputs and results'!$C$79*(W34)," ")</f>
        <v xml:space="preserve"> </v>
      </c>
      <c r="Y35" s="4">
        <f t="shared" si="2"/>
        <v>0</v>
      </c>
      <c r="Z35" s="4" t="e">
        <f>IF(A35&lt;('2. Inputs and results'!$C$21+1),Z34+((C35-$V$6+Y35)/((1+$P$2)^A35)),NA())</f>
        <v>#N/A</v>
      </c>
      <c r="AA35" s="4" t="str">
        <f>IF(A35&lt;('2. Inputs and results'!$C$21+1),AA34+G35+I35+H35+T35-$V$6," ")</f>
        <v xml:space="preserve"> </v>
      </c>
      <c r="AB35" s="20" t="e">
        <f>IF(A35&lt;('2. Inputs and results'!$C$21+1),AA35/L35,NA())</f>
        <v>#N/A</v>
      </c>
      <c r="AC35" s="29" t="str">
        <f>IF(A35&lt;('2. Inputs and results'!$C$21+1),AC34+C35+Y35-$V$6," ")</f>
        <v xml:space="preserve"> </v>
      </c>
      <c r="AD35" s="20" t="e">
        <f>IF(A35&lt;('2. Inputs and results'!$C$21+1),AC35/L35,NA())</f>
        <v>#N/A</v>
      </c>
      <c r="AE35" t="str">
        <f>IF(A35&lt;('2. Inputs and results'!$C$21+1),-'2. Inputs and results'!$C$121*A35," ")</f>
        <v xml:space="preserve"> </v>
      </c>
      <c r="AF35" t="e">
        <f>IF(A35&lt;('2. Inputs and results'!$C$21+1),AE35/1000,NA())</f>
        <v>#N/A</v>
      </c>
    </row>
    <row r="36" spans="1:32" x14ac:dyDescent="0.25">
      <c r="A36">
        <f t="shared" si="0"/>
        <v>31</v>
      </c>
      <c r="B36" t="str">
        <f>IF(A36&lt;('2. Inputs and results'!$C$21+1),A36," ")</f>
        <v xml:space="preserve"> </v>
      </c>
      <c r="C36" s="4" t="str">
        <f>IF(A36&lt;('2. Inputs and results'!$C$21+1),'2. Inputs and results'!$C$99+'2. Inputs and results'!$C$101," ")</f>
        <v xml:space="preserve"> </v>
      </c>
      <c r="D36" s="4" t="e">
        <f>IF(A36&lt;('2. Inputs and results'!$C$21+1),D35+C36,NA())</f>
        <v>#N/A</v>
      </c>
      <c r="E36" s="4" t="str">
        <f>IF(A36&lt;('2. Inputs and results'!$C$21+1),C36/((1+$P$2)^A36)," ")</f>
        <v xml:space="preserve"> </v>
      </c>
      <c r="F36" s="4" t="str">
        <f>IF(B36&lt;('2. Inputs and results'!$C$21+1),F35+E36," ")</f>
        <v xml:space="preserve"> </v>
      </c>
      <c r="G36" s="4" t="str">
        <f>IF(A36&lt;('2. Inputs and results'!$C$21+1),G35*(1+'2. Inputs and results'!$C$46)," ")</f>
        <v xml:space="preserve"> </v>
      </c>
      <c r="H36" s="4" t="str">
        <f>IF(A36&lt;('2. Inputs and results'!$C$21+1),H35*(1+'2. Inputs and results'!$C$58)," ")</f>
        <v xml:space="preserve"> </v>
      </c>
      <c r="I36" s="4" t="str">
        <f>IF(A36&lt;('2. Inputs and results'!$C$21+1),I35*(1+'2. Inputs and results'!$C$34)," ")</f>
        <v xml:space="preserve"> </v>
      </c>
      <c r="J36" s="4" t="str">
        <f>IF(A36&lt;('2. Inputs and results'!$C$21+1),J35*(1+'2. Inputs and results'!$C$68)," ")</f>
        <v xml:space="preserve"> </v>
      </c>
      <c r="K36" s="4" t="e">
        <f>IF(A36&lt;('2. Inputs and results'!$C$21+1),K35+(G36+I36+H36+J36),NA())</f>
        <v>#N/A</v>
      </c>
      <c r="L36" s="4" t="e">
        <f>IF(A36&lt;('2. Inputs and results'!$C$21+1),L35,NA())</f>
        <v>#N/A</v>
      </c>
      <c r="M36" s="4" t="str">
        <f>IF(A36&lt;('2. Inputs and results'!$C$21+1),'2. Inputs and results'!$C$75*'2. Inputs and results'!$C$73," ")</f>
        <v xml:space="preserve"> </v>
      </c>
      <c r="N36" s="4" t="str">
        <f>IF(A36&lt;('2. Inputs and results'!$C$21+1),M36/((1+$P$2)^A36)," ")</f>
        <v xml:space="preserve"> </v>
      </c>
      <c r="O36" s="4" t="str">
        <f>IF(A36&lt;('2. Inputs and results'!$C$21+1),'2. Inputs and results'!$C$73*'2. Inputs and results'!$C$75+O35," ")</f>
        <v xml:space="preserve"> </v>
      </c>
      <c r="P36" s="4" t="str">
        <f>IF(A36&lt;('2. Inputs and results'!$C$21+1),(G36+I36+H36+J36)/((1+$P$2)^A36)," ")</f>
        <v xml:space="preserve"> </v>
      </c>
      <c r="Q36" s="4" t="str">
        <f>IF(A36&lt;('2. Inputs and results'!$C$21+1),Q35+P36," ")</f>
        <v xml:space="preserve"> </v>
      </c>
      <c r="R36" s="4" t="e">
        <f>IF(A36&lt;('2. Inputs and results'!$C$21+1),R35+G36+I36+H36+J36+T36-$V$6,NA())</f>
        <v>#N/A</v>
      </c>
      <c r="S36" s="4" t="str">
        <f>IF(A36&lt;('2. Inputs and results'!$C$21+1),'2. Inputs and results'!$C$79*(R35)," ")</f>
        <v xml:space="preserve"> </v>
      </c>
      <c r="T36" s="4">
        <f t="shared" si="1"/>
        <v>0</v>
      </c>
      <c r="U36" s="4" t="e">
        <f>IF(A36&lt;('2. Inputs and results'!$C$21+1),U35+((G36+I36+H36+J36-$V$6+T36)/((1+$P$2)^A36)),NA())</f>
        <v>#N/A</v>
      </c>
      <c r="V36" s="4" t="str">
        <f>IF(A36&lt;('2. Inputs and results'!$C$21+1),V35+('2. Inputs and results'!$C$75*'2. Inputs and results'!$C$73)," ")</f>
        <v xml:space="preserve"> </v>
      </c>
      <c r="W36" s="4" t="e">
        <f>IF(A36&lt;('2. Inputs and results'!$C$21+1),W35+C36+Y36-$V$6,NA())</f>
        <v>#N/A</v>
      </c>
      <c r="X36" s="4" t="str">
        <f>IF(A36&lt;('2. Inputs and results'!$C$21+1),'2. Inputs and results'!$C$79*(W35)," ")</f>
        <v xml:space="preserve"> </v>
      </c>
      <c r="Y36" s="4">
        <f t="shared" si="2"/>
        <v>0</v>
      </c>
      <c r="Z36" s="4" t="e">
        <f>IF(A36&lt;('2. Inputs and results'!$C$21+1),Z35+((C36-$V$6+Y36)/((1+$P$2)^A36)),NA())</f>
        <v>#N/A</v>
      </c>
      <c r="AA36" s="4" t="str">
        <f>IF(A36&lt;('2. Inputs and results'!$C$21+1),AA35+G36+I36+H36+T36-$V$6," ")</f>
        <v xml:space="preserve"> </v>
      </c>
      <c r="AB36" s="20" t="e">
        <f>IF(A36&lt;('2. Inputs and results'!$C$21+1),AA36/L36,NA())</f>
        <v>#N/A</v>
      </c>
      <c r="AC36" s="29" t="str">
        <f>IF(A36&lt;('2. Inputs and results'!$C$21+1),AC35+C36+Y36-$V$6," ")</f>
        <v xml:space="preserve"> </v>
      </c>
      <c r="AD36" s="20" t="e">
        <f>IF(A36&lt;('2. Inputs and results'!$C$21+1),AC36/L36,NA())</f>
        <v>#N/A</v>
      </c>
      <c r="AE36" t="str">
        <f>IF(A36&lt;('2. Inputs and results'!$C$21+1),-'2. Inputs and results'!$C$121*A36," ")</f>
        <v xml:space="preserve"> </v>
      </c>
      <c r="AF36" t="e">
        <f>IF(A36&lt;('2. Inputs and results'!$C$21+1),AE36/1000,NA())</f>
        <v>#N/A</v>
      </c>
    </row>
    <row r="37" spans="1:32" x14ac:dyDescent="0.25">
      <c r="A37">
        <f t="shared" si="0"/>
        <v>32</v>
      </c>
      <c r="B37" t="str">
        <f>IF(A37&lt;('2. Inputs and results'!$C$21+1),A37," ")</f>
        <v xml:space="preserve"> </v>
      </c>
      <c r="C37" s="4" t="str">
        <f>IF(A37&lt;('2. Inputs and results'!$C$21+1),'2. Inputs and results'!$C$99+'2. Inputs and results'!$C$101," ")</f>
        <v xml:space="preserve"> </v>
      </c>
      <c r="D37" s="4" t="e">
        <f>IF(A37&lt;('2. Inputs and results'!$C$21+1),D36+C37,NA())</f>
        <v>#N/A</v>
      </c>
      <c r="E37" s="4" t="str">
        <f>IF(A37&lt;('2. Inputs and results'!$C$21+1),C37/((1+$P$2)^A37)," ")</f>
        <v xml:space="preserve"> </v>
      </c>
      <c r="F37" s="4" t="str">
        <f>IF(B37&lt;('2. Inputs and results'!$C$21+1),F36+E37," ")</f>
        <v xml:space="preserve"> </v>
      </c>
      <c r="G37" s="4" t="str">
        <f>IF(A37&lt;('2. Inputs and results'!$C$21+1),G36*(1+'2. Inputs and results'!$C$46)," ")</f>
        <v xml:space="preserve"> </v>
      </c>
      <c r="H37" s="4" t="str">
        <f>IF(A37&lt;('2. Inputs and results'!$C$21+1),H36*(1+'2. Inputs and results'!$C$58)," ")</f>
        <v xml:space="preserve"> </v>
      </c>
      <c r="I37" s="4" t="str">
        <f>IF(A37&lt;('2. Inputs and results'!$C$21+1),I36*(1+'2. Inputs and results'!$C$34)," ")</f>
        <v xml:space="preserve"> </v>
      </c>
      <c r="J37" s="4" t="str">
        <f>IF(A37&lt;('2. Inputs and results'!$C$21+1),J36*(1+'2. Inputs and results'!$C$68)," ")</f>
        <v xml:space="preserve"> </v>
      </c>
      <c r="K37" s="4" t="e">
        <f>IF(A37&lt;('2. Inputs and results'!$C$21+1),K36+(G37+I37+H37+J37),NA())</f>
        <v>#N/A</v>
      </c>
      <c r="L37" s="4" t="e">
        <f>IF(A37&lt;('2. Inputs and results'!$C$21+1),L36,NA())</f>
        <v>#N/A</v>
      </c>
      <c r="M37" s="4" t="str">
        <f>IF(A37&lt;('2. Inputs and results'!$C$21+1),'2. Inputs and results'!$C$75*'2. Inputs and results'!$C$73," ")</f>
        <v xml:space="preserve"> </v>
      </c>
      <c r="N37" s="4" t="str">
        <f>IF(A37&lt;('2. Inputs and results'!$C$21+1),M37/((1+$P$2)^A37)," ")</f>
        <v xml:space="preserve"> </v>
      </c>
      <c r="O37" s="4" t="str">
        <f>IF(A37&lt;('2. Inputs and results'!$C$21+1),'2. Inputs and results'!$C$73*'2. Inputs and results'!$C$75+O36," ")</f>
        <v xml:space="preserve"> </v>
      </c>
      <c r="P37" s="4" t="str">
        <f>IF(A37&lt;('2. Inputs and results'!$C$21+1),(G37+I37+H37+J37)/((1+$P$2)^A37)," ")</f>
        <v xml:space="preserve"> </v>
      </c>
      <c r="Q37" s="4" t="str">
        <f>IF(A37&lt;('2. Inputs and results'!$C$21+1),Q36+P37," ")</f>
        <v xml:space="preserve"> </v>
      </c>
      <c r="R37" s="4" t="e">
        <f>IF(A37&lt;('2. Inputs and results'!$C$21+1),R36+G37+I37+H37+J37+T37-$V$6,NA())</f>
        <v>#N/A</v>
      </c>
      <c r="S37" s="4" t="str">
        <f>IF(A37&lt;('2. Inputs and results'!$C$21+1),'2. Inputs and results'!$C$79*(R36)," ")</f>
        <v xml:space="preserve"> </v>
      </c>
      <c r="T37" s="4">
        <f t="shared" si="1"/>
        <v>0</v>
      </c>
      <c r="U37" s="4" t="e">
        <f>IF(A37&lt;('2. Inputs and results'!$C$21+1),U36+((G37+I37+H37+J37-$V$6+T37)/((1+$P$2)^A37)),NA())</f>
        <v>#N/A</v>
      </c>
      <c r="V37" s="4" t="str">
        <f>IF(A37&lt;('2. Inputs and results'!$C$21+1),V36+('2. Inputs and results'!$C$75*'2. Inputs and results'!$C$73)," ")</f>
        <v xml:space="preserve"> </v>
      </c>
      <c r="W37" s="4" t="e">
        <f>IF(A37&lt;('2. Inputs and results'!$C$21+1),W36+C37+Y37-$V$6,NA())</f>
        <v>#N/A</v>
      </c>
      <c r="X37" s="4" t="str">
        <f>IF(A37&lt;('2. Inputs and results'!$C$21+1),'2. Inputs and results'!$C$79*(W36)," ")</f>
        <v xml:space="preserve"> </v>
      </c>
      <c r="Y37" s="4">
        <f t="shared" si="2"/>
        <v>0</v>
      </c>
      <c r="Z37" s="4" t="e">
        <f>IF(A37&lt;('2. Inputs and results'!$C$21+1),Z36+((C37-$V$6+Y37)/((1+$P$2)^A37)),NA())</f>
        <v>#N/A</v>
      </c>
      <c r="AA37" s="4" t="str">
        <f>IF(A37&lt;('2. Inputs and results'!$C$21+1),AA36+G37+I37+H37+T37-$V$6," ")</f>
        <v xml:space="preserve"> </v>
      </c>
      <c r="AB37" s="20" t="e">
        <f>IF(A37&lt;('2. Inputs and results'!$C$21+1),AA37/L37,NA())</f>
        <v>#N/A</v>
      </c>
      <c r="AC37" s="29" t="str">
        <f>IF(A37&lt;('2. Inputs and results'!$C$21+1),AC36+C37+Y37-$V$6," ")</f>
        <v xml:space="preserve"> </v>
      </c>
      <c r="AD37" s="20" t="e">
        <f>IF(A37&lt;('2. Inputs and results'!$C$21+1),AC37/L37,NA())</f>
        <v>#N/A</v>
      </c>
      <c r="AE37" t="str">
        <f>IF(A37&lt;('2. Inputs and results'!$C$21+1),-'2. Inputs and results'!$C$121*A37," ")</f>
        <v xml:space="preserve"> </v>
      </c>
      <c r="AF37" t="e">
        <f>IF(A37&lt;('2. Inputs and results'!$C$21+1),AE37/1000,NA())</f>
        <v>#N/A</v>
      </c>
    </row>
    <row r="38" spans="1:32" x14ac:dyDescent="0.25">
      <c r="A38">
        <f t="shared" si="0"/>
        <v>33</v>
      </c>
      <c r="B38" t="str">
        <f>IF(A38&lt;('2. Inputs and results'!$C$21+1),A38," ")</f>
        <v xml:space="preserve"> </v>
      </c>
      <c r="C38" s="4" t="str">
        <f>IF(A38&lt;('2. Inputs and results'!$C$21+1),'2. Inputs and results'!$C$99+'2. Inputs and results'!$C$101," ")</f>
        <v xml:space="preserve"> </v>
      </c>
      <c r="D38" s="4" t="e">
        <f>IF(A38&lt;('2. Inputs and results'!$C$21+1),D37+C38,NA())</f>
        <v>#N/A</v>
      </c>
      <c r="E38" s="4" t="str">
        <f>IF(A38&lt;('2. Inputs and results'!$C$21+1),C38/((1+$P$2)^A38)," ")</f>
        <v xml:space="preserve"> </v>
      </c>
      <c r="F38" s="4" t="str">
        <f>IF(B38&lt;('2. Inputs and results'!$C$21+1),F37+E38," ")</f>
        <v xml:space="preserve"> </v>
      </c>
      <c r="G38" s="4" t="str">
        <f>IF(A38&lt;('2. Inputs and results'!$C$21+1),G37*(1+'2. Inputs and results'!$C$46)," ")</f>
        <v xml:space="preserve"> </v>
      </c>
      <c r="H38" s="4" t="str">
        <f>IF(A38&lt;('2. Inputs and results'!$C$21+1),H37*(1+'2. Inputs and results'!$C$58)," ")</f>
        <v xml:space="preserve"> </v>
      </c>
      <c r="I38" s="4" t="str">
        <f>IF(A38&lt;('2. Inputs and results'!$C$21+1),I37*(1+'2. Inputs and results'!$C$34)," ")</f>
        <v xml:space="preserve"> </v>
      </c>
      <c r="J38" s="4" t="str">
        <f>IF(A38&lt;('2. Inputs and results'!$C$21+1),J37*(1+'2. Inputs and results'!$C$68)," ")</f>
        <v xml:space="preserve"> </v>
      </c>
      <c r="K38" s="4" t="e">
        <f>IF(A38&lt;('2. Inputs and results'!$C$21+1),K37+(G38+I38+H38+J38),NA())</f>
        <v>#N/A</v>
      </c>
      <c r="L38" s="4" t="e">
        <f>IF(A38&lt;('2. Inputs and results'!$C$21+1),L37,NA())</f>
        <v>#N/A</v>
      </c>
      <c r="M38" s="4" t="str">
        <f>IF(A38&lt;('2. Inputs and results'!$C$21+1),'2. Inputs and results'!$C$75*'2. Inputs and results'!$C$73," ")</f>
        <v xml:space="preserve"> </v>
      </c>
      <c r="N38" s="4" t="str">
        <f>IF(A38&lt;('2. Inputs and results'!$C$21+1),M38/((1+$P$2)^A38)," ")</f>
        <v xml:space="preserve"> </v>
      </c>
      <c r="O38" s="4" t="str">
        <f>IF(A38&lt;('2. Inputs and results'!$C$21+1),'2. Inputs and results'!$C$73*'2. Inputs and results'!$C$75+O37," ")</f>
        <v xml:space="preserve"> </v>
      </c>
      <c r="P38" s="4" t="str">
        <f>IF(A38&lt;('2. Inputs and results'!$C$21+1),(G38+I38+H38+J38)/((1+$P$2)^A38)," ")</f>
        <v xml:space="preserve"> </v>
      </c>
      <c r="Q38" s="4" t="str">
        <f>IF(A38&lt;('2. Inputs and results'!$C$21+1),Q37+P38," ")</f>
        <v xml:space="preserve"> </v>
      </c>
      <c r="R38" s="4" t="e">
        <f>IF(A38&lt;('2. Inputs and results'!$C$21+1),R37+G38+I38+H38+J38+T38-$V$6,NA())</f>
        <v>#N/A</v>
      </c>
      <c r="S38" s="4" t="str">
        <f>IF(A38&lt;('2. Inputs and results'!$C$21+1),'2. Inputs and results'!$C$79*(R37)," ")</f>
        <v xml:space="preserve"> </v>
      </c>
      <c r="T38" s="4">
        <f t="shared" si="1"/>
        <v>0</v>
      </c>
      <c r="U38" s="4" t="e">
        <f>IF(A38&lt;('2. Inputs and results'!$C$21+1),U37+((G38+I38+H38+J38-$V$6+T38)/((1+$P$2)^A38)),NA())</f>
        <v>#N/A</v>
      </c>
      <c r="V38" s="4" t="str">
        <f>IF(A38&lt;('2. Inputs and results'!$C$21+1),V37+('2. Inputs and results'!$C$75*'2. Inputs and results'!$C$73)," ")</f>
        <v xml:space="preserve"> </v>
      </c>
      <c r="W38" s="4" t="e">
        <f>IF(A38&lt;('2. Inputs and results'!$C$21+1),W37+C38+Y38-$V$6,NA())</f>
        <v>#N/A</v>
      </c>
      <c r="X38" s="4" t="str">
        <f>IF(A38&lt;('2. Inputs and results'!$C$21+1),'2. Inputs and results'!$C$79*(W37)," ")</f>
        <v xml:space="preserve"> </v>
      </c>
      <c r="Y38" s="4">
        <f t="shared" si="2"/>
        <v>0</v>
      </c>
      <c r="Z38" s="4" t="e">
        <f>IF(A38&lt;('2. Inputs and results'!$C$21+1),Z37+((C38-$V$6+Y38)/((1+$P$2)^A38)),NA())</f>
        <v>#N/A</v>
      </c>
      <c r="AA38" s="4" t="str">
        <f>IF(A38&lt;('2. Inputs and results'!$C$21+1),AA37+G38+I38+H38+T38-$V$6," ")</f>
        <v xml:space="preserve"> </v>
      </c>
      <c r="AB38" s="20" t="e">
        <f>IF(A38&lt;('2. Inputs and results'!$C$21+1),AA38/L38,NA())</f>
        <v>#N/A</v>
      </c>
      <c r="AC38" s="29" t="str">
        <f>IF(A38&lt;('2. Inputs and results'!$C$21+1),AC37+C38+Y38-$V$6," ")</f>
        <v xml:space="preserve"> </v>
      </c>
      <c r="AD38" s="20" t="e">
        <f>IF(A38&lt;('2. Inputs and results'!$C$21+1),AC38/L38,NA())</f>
        <v>#N/A</v>
      </c>
      <c r="AE38" t="str">
        <f>IF(A38&lt;('2. Inputs and results'!$C$21+1),-'2. Inputs and results'!$C$121*A38," ")</f>
        <v xml:space="preserve"> </v>
      </c>
      <c r="AF38" t="e">
        <f>IF(A38&lt;('2. Inputs and results'!$C$21+1),AE38/1000,NA())</f>
        <v>#N/A</v>
      </c>
    </row>
    <row r="39" spans="1:32" x14ac:dyDescent="0.25">
      <c r="A39">
        <f t="shared" si="0"/>
        <v>34</v>
      </c>
      <c r="B39" t="str">
        <f>IF(A39&lt;('2. Inputs and results'!$C$21+1),A39," ")</f>
        <v xml:space="preserve"> </v>
      </c>
      <c r="C39" s="4" t="str">
        <f>IF(A39&lt;('2. Inputs and results'!$C$21+1),'2. Inputs and results'!$C$99+'2. Inputs and results'!$C$101," ")</f>
        <v xml:space="preserve"> </v>
      </c>
      <c r="D39" s="4" t="e">
        <f>IF(A39&lt;('2. Inputs and results'!$C$21+1),D38+C39,NA())</f>
        <v>#N/A</v>
      </c>
      <c r="E39" s="4" t="str">
        <f>IF(A39&lt;('2. Inputs and results'!$C$21+1),C39/((1+$P$2)^A39)," ")</f>
        <v xml:space="preserve"> </v>
      </c>
      <c r="F39" s="4" t="str">
        <f>IF(B39&lt;('2. Inputs and results'!$C$21+1),F38+E39," ")</f>
        <v xml:space="preserve"> </v>
      </c>
      <c r="G39" s="4" t="str">
        <f>IF(A39&lt;('2. Inputs and results'!$C$21+1),G38*(1+'2. Inputs and results'!$C$46)," ")</f>
        <v xml:space="preserve"> </v>
      </c>
      <c r="H39" s="4" t="str">
        <f>IF(A39&lt;('2. Inputs and results'!$C$21+1),H38*(1+'2. Inputs and results'!$C$58)," ")</f>
        <v xml:space="preserve"> </v>
      </c>
      <c r="I39" s="4" t="str">
        <f>IF(A39&lt;('2. Inputs and results'!$C$21+1),I38*(1+'2. Inputs and results'!$C$34)," ")</f>
        <v xml:space="preserve"> </v>
      </c>
      <c r="J39" s="4" t="str">
        <f>IF(A39&lt;('2. Inputs and results'!$C$21+1),J38*(1+'2. Inputs and results'!$C$68)," ")</f>
        <v xml:space="preserve"> </v>
      </c>
      <c r="K39" s="4" t="e">
        <f>IF(A39&lt;('2. Inputs and results'!$C$21+1),K38+(G39+I39+H39+J39),NA())</f>
        <v>#N/A</v>
      </c>
      <c r="L39" s="4" t="e">
        <f>IF(A39&lt;('2. Inputs and results'!$C$21+1),L38,NA())</f>
        <v>#N/A</v>
      </c>
      <c r="M39" s="4" t="str">
        <f>IF(A39&lt;('2. Inputs and results'!$C$21+1),'2. Inputs and results'!$C$75*'2. Inputs and results'!$C$73," ")</f>
        <v xml:space="preserve"> </v>
      </c>
      <c r="N39" s="4" t="str">
        <f>IF(A39&lt;('2. Inputs and results'!$C$21+1),M39/((1+$P$2)^A39)," ")</f>
        <v xml:space="preserve"> </v>
      </c>
      <c r="O39" s="4" t="str">
        <f>IF(A39&lt;('2. Inputs and results'!$C$21+1),'2. Inputs and results'!$C$73*'2. Inputs and results'!$C$75+O38," ")</f>
        <v xml:space="preserve"> </v>
      </c>
      <c r="P39" s="4" t="str">
        <f>IF(A39&lt;('2. Inputs and results'!$C$21+1),(G39+I39+H39+J39)/((1+$P$2)^A39)," ")</f>
        <v xml:space="preserve"> </v>
      </c>
      <c r="Q39" s="4" t="str">
        <f>IF(A39&lt;('2. Inputs and results'!$C$21+1),Q38+P39," ")</f>
        <v xml:space="preserve"> </v>
      </c>
      <c r="R39" s="4" t="e">
        <f>IF(A39&lt;('2. Inputs and results'!$C$21+1),R38+G39+I39+H39+J39+T39-$V$6,NA())</f>
        <v>#N/A</v>
      </c>
      <c r="S39" s="4" t="str">
        <f>IF(A39&lt;('2. Inputs and results'!$C$21+1),'2. Inputs and results'!$C$79*(R38)," ")</f>
        <v xml:space="preserve"> </v>
      </c>
      <c r="T39" s="4">
        <f t="shared" si="1"/>
        <v>0</v>
      </c>
      <c r="U39" s="4" t="e">
        <f>IF(A39&lt;('2. Inputs and results'!$C$21+1),U38+((G39+I39+H39+J39-$V$6+T39)/((1+$P$2)^A39)),NA())</f>
        <v>#N/A</v>
      </c>
      <c r="V39" s="4" t="str">
        <f>IF(A39&lt;('2. Inputs and results'!$C$21+1),V38+('2. Inputs and results'!$C$75*'2. Inputs and results'!$C$73)," ")</f>
        <v xml:space="preserve"> </v>
      </c>
      <c r="W39" s="4" t="e">
        <f>IF(A39&lt;('2. Inputs and results'!$C$21+1),W38+C39+Y39-$V$6,NA())</f>
        <v>#N/A</v>
      </c>
      <c r="X39" s="4" t="str">
        <f>IF(A39&lt;('2. Inputs and results'!$C$21+1),'2. Inputs and results'!$C$79*(W38)," ")</f>
        <v xml:space="preserve"> </v>
      </c>
      <c r="Y39" s="4">
        <f t="shared" si="2"/>
        <v>0</v>
      </c>
      <c r="Z39" s="4" t="e">
        <f>IF(A39&lt;('2. Inputs and results'!$C$21+1),Z38+((C39-$V$6+Y39)/((1+$P$2)^A39)),NA())</f>
        <v>#N/A</v>
      </c>
      <c r="AA39" s="4" t="str">
        <f>IF(A39&lt;('2. Inputs and results'!$C$21+1),AA38+G39+I39+H39+T39-$V$6," ")</f>
        <v xml:space="preserve"> </v>
      </c>
      <c r="AB39" s="20" t="e">
        <f>IF(A39&lt;('2. Inputs and results'!$C$21+1),AA39/L39,NA())</f>
        <v>#N/A</v>
      </c>
      <c r="AC39" s="29" t="str">
        <f>IF(A39&lt;('2. Inputs and results'!$C$21+1),AC38+C39+Y39-$V$6," ")</f>
        <v xml:space="preserve"> </v>
      </c>
      <c r="AD39" s="20" t="e">
        <f>IF(A39&lt;('2. Inputs and results'!$C$21+1),AC39/L39,NA())</f>
        <v>#N/A</v>
      </c>
      <c r="AE39" t="str">
        <f>IF(A39&lt;('2. Inputs and results'!$C$21+1),-'2. Inputs and results'!$C$121*A39," ")</f>
        <v xml:space="preserve"> </v>
      </c>
      <c r="AF39" t="e">
        <f>IF(A39&lt;('2. Inputs and results'!$C$21+1),AE39/1000,NA())</f>
        <v>#N/A</v>
      </c>
    </row>
    <row r="40" spans="1:32" x14ac:dyDescent="0.25">
      <c r="A40">
        <f t="shared" si="0"/>
        <v>35</v>
      </c>
      <c r="B40" t="str">
        <f>IF(A40&lt;('2. Inputs and results'!$C$21+1),A40," ")</f>
        <v xml:space="preserve"> </v>
      </c>
      <c r="C40" s="4" t="str">
        <f>IF(A40&lt;('2. Inputs and results'!$C$21+1),'2. Inputs and results'!$C$99+'2. Inputs and results'!$C$101," ")</f>
        <v xml:space="preserve"> </v>
      </c>
      <c r="D40" s="4" t="e">
        <f>IF(A40&lt;('2. Inputs and results'!$C$21+1),D39+C40,NA())</f>
        <v>#N/A</v>
      </c>
      <c r="E40" s="4" t="str">
        <f>IF(A40&lt;('2. Inputs and results'!$C$21+1),C40/((1+$P$2)^A40)," ")</f>
        <v xml:space="preserve"> </v>
      </c>
      <c r="F40" s="4" t="str">
        <f>IF(B40&lt;('2. Inputs and results'!$C$21+1),F39+E40," ")</f>
        <v xml:space="preserve"> </v>
      </c>
      <c r="G40" s="4" t="str">
        <f>IF(A40&lt;('2. Inputs and results'!$C$21+1),G39*(1+'2. Inputs and results'!$C$46)," ")</f>
        <v xml:space="preserve"> </v>
      </c>
      <c r="H40" s="4" t="str">
        <f>IF(A40&lt;('2. Inputs and results'!$C$21+1),H39*(1+'2. Inputs and results'!$C$58)," ")</f>
        <v xml:space="preserve"> </v>
      </c>
      <c r="I40" s="4" t="str">
        <f>IF(A40&lt;('2. Inputs and results'!$C$21+1),I39*(1+'2. Inputs and results'!$C$34)," ")</f>
        <v xml:space="preserve"> </v>
      </c>
      <c r="J40" s="4" t="str">
        <f>IF(A40&lt;('2. Inputs and results'!$C$21+1),J39*(1+'2. Inputs and results'!$C$68)," ")</f>
        <v xml:space="preserve"> </v>
      </c>
      <c r="K40" s="4" t="e">
        <f>IF(A40&lt;('2. Inputs and results'!$C$21+1),K39+(G40+I40+H40+J40),NA())</f>
        <v>#N/A</v>
      </c>
      <c r="L40" s="4" t="e">
        <f>IF(A40&lt;('2. Inputs and results'!$C$21+1),L39,NA())</f>
        <v>#N/A</v>
      </c>
      <c r="M40" s="4" t="str">
        <f>IF(A40&lt;('2. Inputs and results'!$C$21+1),'2. Inputs and results'!$C$75*'2. Inputs and results'!$C$73," ")</f>
        <v xml:space="preserve"> </v>
      </c>
      <c r="N40" s="4" t="str">
        <f>IF(A40&lt;('2. Inputs and results'!$C$21+1),M40/((1+$P$2)^A40)," ")</f>
        <v xml:space="preserve"> </v>
      </c>
      <c r="O40" s="4" t="str">
        <f>IF(A40&lt;('2. Inputs and results'!$C$21+1),'2. Inputs and results'!$C$73*'2. Inputs and results'!$C$75+O39," ")</f>
        <v xml:space="preserve"> </v>
      </c>
      <c r="P40" s="4" t="str">
        <f>IF(A40&lt;('2. Inputs and results'!$C$21+1),(G40+I40+H40+J40)/((1+$P$2)^A40)," ")</f>
        <v xml:space="preserve"> </v>
      </c>
      <c r="Q40" s="4" t="str">
        <f>IF(A40&lt;('2. Inputs and results'!$C$21+1),Q39+P40," ")</f>
        <v xml:space="preserve"> </v>
      </c>
      <c r="R40" s="4" t="e">
        <f>IF(A40&lt;('2. Inputs and results'!$C$21+1),R39+G40+I40+H40+J40+T40-$V$6,NA())</f>
        <v>#N/A</v>
      </c>
      <c r="S40" s="4" t="str">
        <f>IF(A40&lt;('2. Inputs and results'!$C$21+1),'2. Inputs and results'!$C$79*(R39)," ")</f>
        <v xml:space="preserve"> </v>
      </c>
      <c r="T40" s="4">
        <f t="shared" si="1"/>
        <v>0</v>
      </c>
      <c r="U40" s="4" t="e">
        <f>IF(A40&lt;('2. Inputs and results'!$C$21+1),U39+((G40+I40+H40+J40-$V$6+T40)/((1+$P$2)^A40)),NA())</f>
        <v>#N/A</v>
      </c>
      <c r="V40" s="4" t="str">
        <f>IF(A40&lt;('2. Inputs and results'!$C$21+1),V39+('2. Inputs and results'!$C$75*'2. Inputs and results'!$C$73)," ")</f>
        <v xml:space="preserve"> </v>
      </c>
      <c r="W40" s="4" t="e">
        <f>IF(A40&lt;('2. Inputs and results'!$C$21+1),W39+C40+Y40-$V$6,NA())</f>
        <v>#N/A</v>
      </c>
      <c r="X40" s="4" t="str">
        <f>IF(A40&lt;('2. Inputs and results'!$C$21+1),'2. Inputs and results'!$C$79*(W39)," ")</f>
        <v xml:space="preserve"> </v>
      </c>
      <c r="Y40" s="4">
        <f t="shared" si="2"/>
        <v>0</v>
      </c>
      <c r="Z40" s="4" t="e">
        <f>IF(A40&lt;('2. Inputs and results'!$C$21+1),Z39+((C40-$V$6+Y40)/((1+$P$2)^A40)),NA())</f>
        <v>#N/A</v>
      </c>
      <c r="AA40" s="4" t="str">
        <f>IF(A40&lt;('2. Inputs and results'!$C$21+1),AA39+G40+I40+H40+T40-$V$6," ")</f>
        <v xml:space="preserve"> </v>
      </c>
      <c r="AB40" s="20" t="e">
        <f>IF(A40&lt;('2. Inputs and results'!$C$21+1),AA40/L40,NA())</f>
        <v>#N/A</v>
      </c>
      <c r="AC40" s="29" t="str">
        <f>IF(A40&lt;('2. Inputs and results'!$C$21+1),AC39+C40+Y40-$V$6," ")</f>
        <v xml:space="preserve"> </v>
      </c>
      <c r="AD40" s="20" t="e">
        <f>IF(A40&lt;('2. Inputs and results'!$C$21+1),AC40/L40,NA())</f>
        <v>#N/A</v>
      </c>
      <c r="AE40" t="str">
        <f>IF(A40&lt;('2. Inputs and results'!$C$21+1),-'2. Inputs and results'!$C$121*A40," ")</f>
        <v xml:space="preserve"> </v>
      </c>
      <c r="AF40" t="e">
        <f>IF(A40&lt;('2. Inputs and results'!$C$21+1),AE40/1000,NA())</f>
        <v>#N/A</v>
      </c>
    </row>
    <row r="41" spans="1:32" x14ac:dyDescent="0.25">
      <c r="A41">
        <f t="shared" si="0"/>
        <v>36</v>
      </c>
      <c r="B41" t="str">
        <f>IF(A41&lt;('2. Inputs and results'!$C$21+1),A41," ")</f>
        <v xml:space="preserve"> </v>
      </c>
      <c r="C41" s="4" t="str">
        <f>IF(A41&lt;('2. Inputs and results'!$C$21+1),'2. Inputs and results'!$C$99+'2. Inputs and results'!$C$101," ")</f>
        <v xml:space="preserve"> </v>
      </c>
      <c r="D41" s="4" t="e">
        <f>IF(A41&lt;('2. Inputs and results'!$C$21+1),D40+C41,NA())</f>
        <v>#N/A</v>
      </c>
      <c r="E41" s="4" t="str">
        <f>IF(A41&lt;('2. Inputs and results'!$C$21+1),C41/((1+$P$2)^A41)," ")</f>
        <v xml:space="preserve"> </v>
      </c>
      <c r="F41" s="4" t="str">
        <f>IF(B41&lt;('2. Inputs and results'!$C$21+1),F40+E41," ")</f>
        <v xml:space="preserve"> </v>
      </c>
      <c r="G41" s="4" t="str">
        <f>IF(A41&lt;('2. Inputs and results'!$C$21+1),G40*(1+'2. Inputs and results'!$C$46)," ")</f>
        <v xml:space="preserve"> </v>
      </c>
      <c r="H41" s="4" t="str">
        <f>IF(A41&lt;('2. Inputs and results'!$C$21+1),H40*(1+'2. Inputs and results'!$C$58)," ")</f>
        <v xml:space="preserve"> </v>
      </c>
      <c r="I41" s="4" t="str">
        <f>IF(A41&lt;('2. Inputs and results'!$C$21+1),I40*(1+'2. Inputs and results'!$C$34)," ")</f>
        <v xml:space="preserve"> </v>
      </c>
      <c r="J41" s="4" t="str">
        <f>IF(A41&lt;('2. Inputs and results'!$C$21+1),J40*(1+'2. Inputs and results'!$C$68)," ")</f>
        <v xml:space="preserve"> </v>
      </c>
      <c r="K41" s="4" t="e">
        <f>IF(A41&lt;('2. Inputs and results'!$C$21+1),K40+(G41+I41+H41+J41),NA())</f>
        <v>#N/A</v>
      </c>
      <c r="L41" s="4" t="e">
        <f>IF(A41&lt;('2. Inputs and results'!$C$21+1),L40,NA())</f>
        <v>#N/A</v>
      </c>
      <c r="M41" s="4" t="str">
        <f>IF(A41&lt;('2. Inputs and results'!$C$21+1),'2. Inputs and results'!$C$75*'2. Inputs and results'!$C$73," ")</f>
        <v xml:space="preserve"> </v>
      </c>
      <c r="N41" s="4" t="str">
        <f>IF(A41&lt;('2. Inputs and results'!$C$21+1),M41/((1+$P$2)^A41)," ")</f>
        <v xml:space="preserve"> </v>
      </c>
      <c r="O41" s="4" t="str">
        <f>IF(A41&lt;('2. Inputs and results'!$C$21+1),'2. Inputs and results'!$C$73*'2. Inputs and results'!$C$75+O40," ")</f>
        <v xml:space="preserve"> </v>
      </c>
      <c r="P41" s="4" t="str">
        <f>IF(A41&lt;('2. Inputs and results'!$C$21+1),(G41+I41+H41+J41)/((1+$P$2)^A41)," ")</f>
        <v xml:space="preserve"> </v>
      </c>
      <c r="Q41" s="4" t="str">
        <f>IF(A41&lt;('2. Inputs and results'!$C$21+1),Q40+P41," ")</f>
        <v xml:space="preserve"> </v>
      </c>
      <c r="R41" s="4" t="e">
        <f>IF(A41&lt;('2. Inputs and results'!$C$21+1),R40+G41+I41+H41+J41+T41-$V$6,NA())</f>
        <v>#N/A</v>
      </c>
      <c r="S41" s="4" t="str">
        <f>IF(A41&lt;('2. Inputs and results'!$C$21+1),'2. Inputs and results'!$C$79*(R40)," ")</f>
        <v xml:space="preserve"> </v>
      </c>
      <c r="T41" s="4">
        <f t="shared" si="1"/>
        <v>0</v>
      </c>
      <c r="U41" s="4" t="e">
        <f>IF(A41&lt;('2. Inputs and results'!$C$21+1),U40+((G41+I41+H41+J41-$V$6+T41)/((1+$P$2)^A41)),NA())</f>
        <v>#N/A</v>
      </c>
      <c r="V41" s="4" t="str">
        <f>IF(A41&lt;('2. Inputs and results'!$C$21+1),V40+('2. Inputs and results'!$C$75*'2. Inputs and results'!$C$73)," ")</f>
        <v xml:space="preserve"> </v>
      </c>
      <c r="W41" s="4" t="e">
        <f>IF(A41&lt;('2. Inputs and results'!$C$21+1),W40+C41+Y41-$V$6,NA())</f>
        <v>#N/A</v>
      </c>
      <c r="X41" s="4" t="str">
        <f>IF(A41&lt;('2. Inputs and results'!$C$21+1),'2. Inputs and results'!$C$79*(W40)," ")</f>
        <v xml:space="preserve"> </v>
      </c>
      <c r="Y41" s="4">
        <f t="shared" si="2"/>
        <v>0</v>
      </c>
      <c r="Z41" s="4" t="e">
        <f>IF(A41&lt;('2. Inputs and results'!$C$21+1),Z40+((C41-$V$6+Y41)/((1+$P$2)^A41)),NA())</f>
        <v>#N/A</v>
      </c>
      <c r="AA41" s="4" t="str">
        <f>IF(A41&lt;('2. Inputs and results'!$C$21+1),AA40+G41+I41+H41+T41-$V$6," ")</f>
        <v xml:space="preserve"> </v>
      </c>
      <c r="AB41" s="20" t="e">
        <f>IF(A41&lt;('2. Inputs and results'!$C$21+1),AA41/L41,NA())</f>
        <v>#N/A</v>
      </c>
      <c r="AC41" s="29" t="str">
        <f>IF(A41&lt;('2. Inputs and results'!$C$21+1),AC40+C41+Y41-$V$6," ")</f>
        <v xml:space="preserve"> </v>
      </c>
      <c r="AD41" s="20" t="e">
        <f>IF(A41&lt;('2. Inputs and results'!$C$21+1),AC41/L41,NA())</f>
        <v>#N/A</v>
      </c>
      <c r="AE41" t="str">
        <f>IF(A41&lt;('2. Inputs and results'!$C$21+1),-'2. Inputs and results'!$C$121*A41," ")</f>
        <v xml:space="preserve"> </v>
      </c>
      <c r="AF41" t="e">
        <f>IF(A41&lt;('2. Inputs and results'!$C$21+1),AE41/1000,NA())</f>
        <v>#N/A</v>
      </c>
    </row>
    <row r="42" spans="1:32" x14ac:dyDescent="0.25">
      <c r="A42">
        <f t="shared" si="0"/>
        <v>37</v>
      </c>
      <c r="B42" t="str">
        <f>IF(A42&lt;('2. Inputs and results'!$C$21+1),A42," ")</f>
        <v xml:space="preserve"> </v>
      </c>
      <c r="C42" s="4" t="str">
        <f>IF(A42&lt;('2. Inputs and results'!$C$21+1),'2. Inputs and results'!$C$99+'2. Inputs and results'!$C$101," ")</f>
        <v xml:space="preserve"> </v>
      </c>
      <c r="D42" s="4" t="e">
        <f>IF(A42&lt;('2. Inputs and results'!$C$21+1),D41+C42,NA())</f>
        <v>#N/A</v>
      </c>
      <c r="E42" s="4" t="str">
        <f>IF(A42&lt;('2. Inputs and results'!$C$21+1),C42/((1+$P$2)^A42)," ")</f>
        <v xml:space="preserve"> </v>
      </c>
      <c r="F42" s="4" t="str">
        <f>IF(B42&lt;('2. Inputs and results'!$C$21+1),F41+E42," ")</f>
        <v xml:space="preserve"> </v>
      </c>
      <c r="G42" s="4" t="str">
        <f>IF(A42&lt;('2. Inputs and results'!$C$21+1),G41*(1+'2. Inputs and results'!$C$46)," ")</f>
        <v xml:space="preserve"> </v>
      </c>
      <c r="H42" s="4" t="str">
        <f>IF(A42&lt;('2. Inputs and results'!$C$21+1),H41*(1+'2. Inputs and results'!$C$58)," ")</f>
        <v xml:space="preserve"> </v>
      </c>
      <c r="I42" s="4" t="str">
        <f>IF(A42&lt;('2. Inputs and results'!$C$21+1),I41*(1+'2. Inputs and results'!$C$34)," ")</f>
        <v xml:space="preserve"> </v>
      </c>
      <c r="J42" s="4" t="str">
        <f>IF(A42&lt;('2. Inputs and results'!$C$21+1),J41*(1+'2. Inputs and results'!$C$68)," ")</f>
        <v xml:space="preserve"> </v>
      </c>
      <c r="K42" s="4" t="e">
        <f>IF(A42&lt;('2. Inputs and results'!$C$21+1),K41+(G42+I42+H42+J42),NA())</f>
        <v>#N/A</v>
      </c>
      <c r="L42" s="4" t="e">
        <f>IF(A42&lt;('2. Inputs and results'!$C$21+1),L41,NA())</f>
        <v>#N/A</v>
      </c>
      <c r="M42" s="4" t="str">
        <f>IF(A42&lt;('2. Inputs and results'!$C$21+1),'2. Inputs and results'!$C$75*'2. Inputs and results'!$C$73," ")</f>
        <v xml:space="preserve"> </v>
      </c>
      <c r="N42" s="4" t="str">
        <f>IF(A42&lt;('2. Inputs and results'!$C$21+1),M42/((1+$P$2)^A42)," ")</f>
        <v xml:space="preserve"> </v>
      </c>
      <c r="O42" s="4" t="str">
        <f>IF(A42&lt;('2. Inputs and results'!$C$21+1),'2. Inputs and results'!$C$73*'2. Inputs and results'!$C$75+O41," ")</f>
        <v xml:space="preserve"> </v>
      </c>
      <c r="P42" s="4" t="str">
        <f>IF(A42&lt;('2. Inputs and results'!$C$21+1),(G42+I42+H42+J42)/((1+$P$2)^A42)," ")</f>
        <v xml:space="preserve"> </v>
      </c>
      <c r="Q42" s="4" t="str">
        <f>IF(A42&lt;('2. Inputs and results'!$C$21+1),Q41+P42," ")</f>
        <v xml:space="preserve"> </v>
      </c>
      <c r="R42" s="4" t="e">
        <f>IF(A42&lt;('2. Inputs and results'!$C$21+1),R41+G42+I42+H42+J42+T42-$V$6,NA())</f>
        <v>#N/A</v>
      </c>
      <c r="S42" s="4" t="str">
        <f>IF(A42&lt;('2. Inputs and results'!$C$21+1),'2. Inputs and results'!$C$79*(R41)," ")</f>
        <v xml:space="preserve"> </v>
      </c>
      <c r="T42" s="4">
        <f t="shared" si="1"/>
        <v>0</v>
      </c>
      <c r="U42" s="4" t="e">
        <f>IF(A42&lt;('2. Inputs and results'!$C$21+1),U41+((G42+I42+H42+J42-$V$6+T42)/((1+$P$2)^A42)),NA())</f>
        <v>#N/A</v>
      </c>
      <c r="V42" s="4" t="str">
        <f>IF(A42&lt;('2. Inputs and results'!$C$21+1),V41+('2. Inputs and results'!$C$75*'2. Inputs and results'!$C$73)," ")</f>
        <v xml:space="preserve"> </v>
      </c>
      <c r="W42" s="4" t="e">
        <f>IF(A42&lt;('2. Inputs and results'!$C$21+1),W41+C42+Y42-$V$6,NA())</f>
        <v>#N/A</v>
      </c>
      <c r="X42" s="4" t="str">
        <f>IF(A42&lt;('2. Inputs and results'!$C$21+1),'2. Inputs and results'!$C$79*(W41)," ")</f>
        <v xml:space="preserve"> </v>
      </c>
      <c r="Y42" s="4">
        <f t="shared" si="2"/>
        <v>0</v>
      </c>
      <c r="Z42" s="4" t="e">
        <f>IF(A42&lt;('2. Inputs and results'!$C$21+1),Z41+((C42-$V$6+Y42)/((1+$P$2)^A42)),NA())</f>
        <v>#N/A</v>
      </c>
      <c r="AA42" s="4" t="str">
        <f>IF(A42&lt;('2. Inputs and results'!$C$21+1),AA41+G42+I42+H42+T42-$V$6," ")</f>
        <v xml:space="preserve"> </v>
      </c>
      <c r="AB42" s="20" t="e">
        <f>IF(A42&lt;('2. Inputs and results'!$C$21+1),AA42/L42,NA())</f>
        <v>#N/A</v>
      </c>
      <c r="AC42" s="29" t="str">
        <f>IF(A42&lt;('2. Inputs and results'!$C$21+1),AC41+C42+Y42-$V$6," ")</f>
        <v xml:space="preserve"> </v>
      </c>
      <c r="AD42" s="20" t="e">
        <f>IF(A42&lt;('2. Inputs and results'!$C$21+1),AC42/L42,NA())</f>
        <v>#N/A</v>
      </c>
      <c r="AE42" t="str">
        <f>IF(A42&lt;('2. Inputs and results'!$C$21+1),-'2. Inputs and results'!$C$121*A42," ")</f>
        <v xml:space="preserve"> </v>
      </c>
      <c r="AF42" t="e">
        <f>IF(A42&lt;('2. Inputs and results'!$C$21+1),AE42/1000,NA())</f>
        <v>#N/A</v>
      </c>
    </row>
    <row r="43" spans="1:32" x14ac:dyDescent="0.25">
      <c r="A43">
        <f t="shared" si="0"/>
        <v>38</v>
      </c>
      <c r="B43" t="str">
        <f>IF(A43&lt;('2. Inputs and results'!$C$21+1),A43," ")</f>
        <v xml:space="preserve"> </v>
      </c>
      <c r="C43" s="4" t="str">
        <f>IF(A43&lt;('2. Inputs and results'!$C$21+1),'2. Inputs and results'!$C$99+'2. Inputs and results'!$C$101," ")</f>
        <v xml:space="preserve"> </v>
      </c>
      <c r="D43" s="4" t="e">
        <f>IF(A43&lt;('2. Inputs and results'!$C$21+1),D42+C43,NA())</f>
        <v>#N/A</v>
      </c>
      <c r="E43" s="4" t="str">
        <f>IF(A43&lt;('2. Inputs and results'!$C$21+1),C43/((1+$P$2)^A43)," ")</f>
        <v xml:space="preserve"> </v>
      </c>
      <c r="F43" s="4" t="str">
        <f>IF(B43&lt;('2. Inputs and results'!$C$21+1),F42+E43," ")</f>
        <v xml:space="preserve"> </v>
      </c>
      <c r="G43" s="4" t="str">
        <f>IF(A43&lt;('2. Inputs and results'!$C$21+1),G42*(1+'2. Inputs and results'!$C$46)," ")</f>
        <v xml:space="preserve"> </v>
      </c>
      <c r="H43" s="4" t="str">
        <f>IF(A43&lt;('2. Inputs and results'!$C$21+1),H42*(1+'2. Inputs and results'!$C$58)," ")</f>
        <v xml:space="preserve"> </v>
      </c>
      <c r="I43" s="4" t="str">
        <f>IF(A43&lt;('2. Inputs and results'!$C$21+1),I42*(1+'2. Inputs and results'!$C$34)," ")</f>
        <v xml:space="preserve"> </v>
      </c>
      <c r="J43" s="4" t="str">
        <f>IF(A43&lt;('2. Inputs and results'!$C$21+1),J42*(1+'2. Inputs and results'!$C$68)," ")</f>
        <v xml:space="preserve"> </v>
      </c>
      <c r="K43" s="4" t="e">
        <f>IF(A43&lt;('2. Inputs and results'!$C$21+1),K42+(G43+I43+H43+J43),NA())</f>
        <v>#N/A</v>
      </c>
      <c r="L43" s="4" t="e">
        <f>IF(A43&lt;('2. Inputs and results'!$C$21+1),L42,NA())</f>
        <v>#N/A</v>
      </c>
      <c r="M43" s="4" t="str">
        <f>IF(A43&lt;('2. Inputs and results'!$C$21+1),'2. Inputs and results'!$C$75*'2. Inputs and results'!$C$73," ")</f>
        <v xml:space="preserve"> </v>
      </c>
      <c r="N43" s="4" t="str">
        <f>IF(A43&lt;('2. Inputs and results'!$C$21+1),M43/((1+$P$2)^A43)," ")</f>
        <v xml:space="preserve"> </v>
      </c>
      <c r="O43" s="4" t="str">
        <f>IF(A43&lt;('2. Inputs and results'!$C$21+1),'2. Inputs and results'!$C$73*'2. Inputs and results'!$C$75+O42," ")</f>
        <v xml:space="preserve"> </v>
      </c>
      <c r="P43" s="4" t="str">
        <f>IF(A43&lt;('2. Inputs and results'!$C$21+1),(G43+I43+H43+J43)/((1+$P$2)^A43)," ")</f>
        <v xml:space="preserve"> </v>
      </c>
      <c r="Q43" s="4" t="str">
        <f>IF(A43&lt;('2. Inputs and results'!$C$21+1),Q42+P43," ")</f>
        <v xml:space="preserve"> </v>
      </c>
      <c r="R43" s="4" t="e">
        <f>IF(A43&lt;('2. Inputs and results'!$C$21+1),R42+G43+I43+H43+J43+T43-$V$6,NA())</f>
        <v>#N/A</v>
      </c>
      <c r="S43" s="4" t="str">
        <f>IF(A43&lt;('2. Inputs and results'!$C$21+1),'2. Inputs and results'!$C$79*(R42)," ")</f>
        <v xml:space="preserve"> </v>
      </c>
      <c r="T43" s="4">
        <f t="shared" si="1"/>
        <v>0</v>
      </c>
      <c r="U43" s="4" t="e">
        <f>IF(A43&lt;('2. Inputs and results'!$C$21+1),U42+((G43+I43+H43+J43-$V$6+T43)/((1+$P$2)^A43)),NA())</f>
        <v>#N/A</v>
      </c>
      <c r="V43" s="4" t="str">
        <f>IF(A43&lt;('2. Inputs and results'!$C$21+1),V42+('2. Inputs and results'!$C$75*'2. Inputs and results'!$C$73)," ")</f>
        <v xml:space="preserve"> </v>
      </c>
      <c r="W43" s="4" t="e">
        <f>IF(A43&lt;('2. Inputs and results'!$C$21+1),W42+C43+Y43-$V$6,NA())</f>
        <v>#N/A</v>
      </c>
      <c r="X43" s="4" t="str">
        <f>IF(A43&lt;('2. Inputs and results'!$C$21+1),'2. Inputs and results'!$C$79*(W42)," ")</f>
        <v xml:space="preserve"> </v>
      </c>
      <c r="Y43" s="4">
        <f t="shared" si="2"/>
        <v>0</v>
      </c>
      <c r="Z43" s="4" t="e">
        <f>IF(A43&lt;('2. Inputs and results'!$C$21+1),Z42+((C43-$V$6+Y43)/((1+$P$2)^A43)),NA())</f>
        <v>#N/A</v>
      </c>
      <c r="AA43" s="4" t="str">
        <f>IF(A43&lt;('2. Inputs and results'!$C$21+1),AA42+G43+I43+H43+T43-$V$6," ")</f>
        <v xml:space="preserve"> </v>
      </c>
      <c r="AB43" s="20" t="e">
        <f>IF(A43&lt;('2. Inputs and results'!$C$21+1),AA43/L43,NA())</f>
        <v>#N/A</v>
      </c>
      <c r="AC43" s="29" t="str">
        <f>IF(A43&lt;('2. Inputs and results'!$C$21+1),AC42+C43+Y43-$V$6," ")</f>
        <v xml:space="preserve"> </v>
      </c>
      <c r="AD43" s="20" t="e">
        <f>IF(A43&lt;('2. Inputs and results'!$C$21+1),AC43/L43,NA())</f>
        <v>#N/A</v>
      </c>
      <c r="AE43" t="str">
        <f>IF(A43&lt;('2. Inputs and results'!$C$21+1),-'2. Inputs and results'!$C$121*A43," ")</f>
        <v xml:space="preserve"> </v>
      </c>
      <c r="AF43" t="e">
        <f>IF(A43&lt;('2. Inputs and results'!$C$21+1),AE43/1000,NA())</f>
        <v>#N/A</v>
      </c>
    </row>
    <row r="44" spans="1:32" x14ac:dyDescent="0.25">
      <c r="A44">
        <f t="shared" si="0"/>
        <v>39</v>
      </c>
      <c r="B44" t="str">
        <f>IF(A44&lt;('2. Inputs and results'!$C$21+1),A44," ")</f>
        <v xml:space="preserve"> </v>
      </c>
      <c r="C44" s="4" t="str">
        <f>IF(A44&lt;('2. Inputs and results'!$C$21+1),'2. Inputs and results'!$C$99+'2. Inputs and results'!$C$101," ")</f>
        <v xml:space="preserve"> </v>
      </c>
      <c r="D44" s="4" t="e">
        <f>IF(A44&lt;('2. Inputs and results'!$C$21+1),D43+C44,NA())</f>
        <v>#N/A</v>
      </c>
      <c r="E44" s="4" t="str">
        <f>IF(A44&lt;('2. Inputs and results'!$C$21+1),C44/((1+$P$2)^A44)," ")</f>
        <v xml:space="preserve"> </v>
      </c>
      <c r="F44" s="4" t="str">
        <f>IF(B44&lt;('2. Inputs and results'!$C$21+1),F43+E44," ")</f>
        <v xml:space="preserve"> </v>
      </c>
      <c r="G44" s="4" t="str">
        <f>IF(A44&lt;('2. Inputs and results'!$C$21+1),G43*(1+'2. Inputs and results'!$C$46)," ")</f>
        <v xml:space="preserve"> </v>
      </c>
      <c r="H44" s="4" t="str">
        <f>IF(A44&lt;('2. Inputs and results'!$C$21+1),H43*(1+'2. Inputs and results'!$C$58)," ")</f>
        <v xml:space="preserve"> </v>
      </c>
      <c r="I44" s="4" t="str">
        <f>IF(A44&lt;('2. Inputs and results'!$C$21+1),I43*(1+'2. Inputs and results'!$C$34)," ")</f>
        <v xml:space="preserve"> </v>
      </c>
      <c r="J44" s="4" t="str">
        <f>IF(A44&lt;('2. Inputs and results'!$C$21+1),J43*(1+'2. Inputs and results'!$C$68)," ")</f>
        <v xml:space="preserve"> </v>
      </c>
      <c r="K44" s="4" t="e">
        <f>IF(A44&lt;('2. Inputs and results'!$C$21+1),K43+(G44+I44+H44+J44),NA())</f>
        <v>#N/A</v>
      </c>
      <c r="L44" s="4" t="e">
        <f>IF(A44&lt;('2. Inputs and results'!$C$21+1),L43,NA())</f>
        <v>#N/A</v>
      </c>
      <c r="M44" s="4" t="str">
        <f>IF(A44&lt;('2. Inputs and results'!$C$21+1),'2. Inputs and results'!$C$75*'2. Inputs and results'!$C$73," ")</f>
        <v xml:space="preserve"> </v>
      </c>
      <c r="N44" s="4" t="str">
        <f>IF(A44&lt;('2. Inputs and results'!$C$21+1),M44/((1+$P$2)^A44)," ")</f>
        <v xml:space="preserve"> </v>
      </c>
      <c r="O44" s="4" t="str">
        <f>IF(A44&lt;('2. Inputs and results'!$C$21+1),'2. Inputs and results'!$C$73*'2. Inputs and results'!$C$75+O43," ")</f>
        <v xml:space="preserve"> </v>
      </c>
      <c r="P44" s="4" t="str">
        <f>IF(A44&lt;('2. Inputs and results'!$C$21+1),(G44+I44+H44+J44)/((1+$P$2)^A44)," ")</f>
        <v xml:space="preserve"> </v>
      </c>
      <c r="Q44" s="4" t="str">
        <f>IF(A44&lt;('2. Inputs and results'!$C$21+1),Q43+P44," ")</f>
        <v xml:space="preserve"> </v>
      </c>
      <c r="R44" s="4" t="e">
        <f>IF(A44&lt;('2. Inputs and results'!$C$21+1),R43+G44+I44+H44+J44+T44-$V$6,NA())</f>
        <v>#N/A</v>
      </c>
      <c r="S44" s="4" t="str">
        <f>IF(A44&lt;('2. Inputs and results'!$C$21+1),'2. Inputs and results'!$C$79*(R43)," ")</f>
        <v xml:space="preserve"> </v>
      </c>
      <c r="T44" s="4">
        <f t="shared" si="1"/>
        <v>0</v>
      </c>
      <c r="U44" s="4" t="e">
        <f>IF(A44&lt;('2. Inputs and results'!$C$21+1),U43+((G44+I44+H44+J44-$V$6+T44)/((1+$P$2)^A44)),NA())</f>
        <v>#N/A</v>
      </c>
      <c r="V44" s="4" t="str">
        <f>IF(A44&lt;('2. Inputs and results'!$C$21+1),V43+('2. Inputs and results'!$C$75*'2. Inputs and results'!$C$73)," ")</f>
        <v xml:space="preserve"> </v>
      </c>
      <c r="W44" s="4" t="e">
        <f>IF(A44&lt;('2. Inputs and results'!$C$21+1),W43+C44+Y44-$V$6,NA())</f>
        <v>#N/A</v>
      </c>
      <c r="X44" s="4" t="str">
        <f>IF(A44&lt;('2. Inputs and results'!$C$21+1),'2. Inputs and results'!$C$79*(W43)," ")</f>
        <v xml:space="preserve"> </v>
      </c>
      <c r="Y44" s="4">
        <f t="shared" si="2"/>
        <v>0</v>
      </c>
      <c r="Z44" s="4" t="e">
        <f>IF(A44&lt;('2. Inputs and results'!$C$21+1),Z43+((C44-$V$6+Y44)/((1+$P$2)^A44)),NA())</f>
        <v>#N/A</v>
      </c>
      <c r="AA44" s="4" t="str">
        <f>IF(A44&lt;('2. Inputs and results'!$C$21+1),AA43+G44+I44+H44+T44-$V$6," ")</f>
        <v xml:space="preserve"> </v>
      </c>
      <c r="AB44" s="20" t="e">
        <f>IF(A44&lt;('2. Inputs and results'!$C$21+1),AA44/L44,NA())</f>
        <v>#N/A</v>
      </c>
      <c r="AC44" s="29" t="str">
        <f>IF(A44&lt;('2. Inputs and results'!$C$21+1),AC43+C44+Y44-$V$6," ")</f>
        <v xml:space="preserve"> </v>
      </c>
      <c r="AD44" s="20" t="e">
        <f>IF(A44&lt;('2. Inputs and results'!$C$21+1),AC44/L44,NA())</f>
        <v>#N/A</v>
      </c>
      <c r="AE44" t="str">
        <f>IF(A44&lt;('2. Inputs and results'!$C$21+1),-'2. Inputs and results'!$C$121*A44," ")</f>
        <v xml:space="preserve"> </v>
      </c>
      <c r="AF44" t="e">
        <f>IF(A44&lt;('2. Inputs and results'!$C$21+1),AE44/1000,NA())</f>
        <v>#N/A</v>
      </c>
    </row>
    <row r="45" spans="1:32" x14ac:dyDescent="0.25">
      <c r="A45">
        <f t="shared" si="0"/>
        <v>40</v>
      </c>
      <c r="B45" t="str">
        <f>IF(A45&lt;('2. Inputs and results'!$C$21+1),A45," ")</f>
        <v xml:space="preserve"> </v>
      </c>
      <c r="C45" s="4" t="str">
        <f>IF(A45&lt;('2. Inputs and results'!$C$21+1),'2. Inputs and results'!$C$99+'2. Inputs and results'!$C$101," ")</f>
        <v xml:space="preserve"> </v>
      </c>
      <c r="D45" s="4" t="e">
        <f>IF(A45&lt;('2. Inputs and results'!$C$21+1),D44+C45,NA())</f>
        <v>#N/A</v>
      </c>
      <c r="E45" s="4" t="str">
        <f>IF(A45&lt;('2. Inputs and results'!$C$21+1),C45/((1+$P$2)^A45)," ")</f>
        <v xml:space="preserve"> </v>
      </c>
      <c r="F45" s="4" t="str">
        <f>IF(B45&lt;('2. Inputs and results'!$C$21+1),F44+E45," ")</f>
        <v xml:space="preserve"> </v>
      </c>
      <c r="G45" s="4" t="str">
        <f>IF(A45&lt;('2. Inputs and results'!$C$21+1),G44*(1+'2. Inputs and results'!$C$46)," ")</f>
        <v xml:space="preserve"> </v>
      </c>
      <c r="H45" s="4" t="str">
        <f>IF(A45&lt;('2. Inputs and results'!$C$21+1),H44*(1+'2. Inputs and results'!$C$58)," ")</f>
        <v xml:space="preserve"> </v>
      </c>
      <c r="I45" s="4" t="str">
        <f>IF(A45&lt;('2. Inputs and results'!$C$21+1),I44*(1+'2. Inputs and results'!$C$34)," ")</f>
        <v xml:space="preserve"> </v>
      </c>
      <c r="J45" s="4" t="str">
        <f>IF(A45&lt;('2. Inputs and results'!$C$21+1),J44*(1+'2. Inputs and results'!$C$68)," ")</f>
        <v xml:space="preserve"> </v>
      </c>
      <c r="K45" s="4" t="e">
        <f>IF(A45&lt;('2. Inputs and results'!$C$21+1),K44+(G45+I45+H45+J45),NA())</f>
        <v>#N/A</v>
      </c>
      <c r="L45" s="4" t="e">
        <f>IF(A45&lt;('2. Inputs and results'!$C$21+1),L44,NA())</f>
        <v>#N/A</v>
      </c>
      <c r="M45" s="4" t="str">
        <f>IF(A45&lt;('2. Inputs and results'!$C$21+1),'2. Inputs and results'!$C$75*'2. Inputs and results'!$C$73," ")</f>
        <v xml:space="preserve"> </v>
      </c>
      <c r="N45" s="4" t="str">
        <f>IF(A45&lt;('2. Inputs and results'!$C$21+1),M45/((1+$P$2)^A45)," ")</f>
        <v xml:space="preserve"> </v>
      </c>
      <c r="O45" s="4" t="str">
        <f>IF(A45&lt;('2. Inputs and results'!$C$21+1),'2. Inputs and results'!$C$73*'2. Inputs and results'!$C$75+O44," ")</f>
        <v xml:space="preserve"> </v>
      </c>
      <c r="P45" s="4" t="str">
        <f>IF(A45&lt;('2. Inputs and results'!$C$21+1),(G45+I45+H45+J45)/((1+$P$2)^A45)," ")</f>
        <v xml:space="preserve"> </v>
      </c>
      <c r="Q45" s="4" t="str">
        <f>IF(A45&lt;('2. Inputs and results'!$C$21+1),Q44+P45," ")</f>
        <v xml:space="preserve"> </v>
      </c>
      <c r="R45" s="4" t="e">
        <f>IF(A45&lt;('2. Inputs and results'!$C$21+1),R44+G45+I45+H45+J45+T45-$V$6,NA())</f>
        <v>#N/A</v>
      </c>
      <c r="S45" s="4" t="str">
        <f>IF(A45&lt;('2. Inputs and results'!$C$21+1),'2. Inputs and results'!$C$79*(R44)," ")</f>
        <v xml:space="preserve"> </v>
      </c>
      <c r="T45" s="4">
        <f t="shared" si="1"/>
        <v>0</v>
      </c>
      <c r="U45" s="4" t="e">
        <f>IF(A45&lt;('2. Inputs and results'!$C$21+1),U44+((G45+I45+H45+J45-$V$6+T45)/((1+$P$2)^A45)),NA())</f>
        <v>#N/A</v>
      </c>
      <c r="V45" s="4" t="str">
        <f>IF(A45&lt;('2. Inputs and results'!$C$21+1),V44+('2. Inputs and results'!$C$75*'2. Inputs and results'!$C$73)," ")</f>
        <v xml:space="preserve"> </v>
      </c>
      <c r="W45" s="4" t="e">
        <f>IF(A45&lt;('2. Inputs and results'!$C$21+1),W44+C45+Y45-$V$6,NA())</f>
        <v>#N/A</v>
      </c>
      <c r="X45" s="4" t="str">
        <f>IF(A45&lt;('2. Inputs and results'!$C$21+1),'2. Inputs and results'!$C$79*(W44)," ")</f>
        <v xml:space="preserve"> </v>
      </c>
      <c r="Y45" s="4">
        <f t="shared" si="2"/>
        <v>0</v>
      </c>
      <c r="Z45" s="4" t="e">
        <f>IF(A45&lt;('2. Inputs and results'!$C$21+1),Z44+((C45-$V$6+Y45)/((1+$P$2)^A45)),NA())</f>
        <v>#N/A</v>
      </c>
      <c r="AA45" s="4" t="str">
        <f>IF(A45&lt;('2. Inputs and results'!$C$21+1),AA44+G45+I45+H45+T45-$V$6," ")</f>
        <v xml:space="preserve"> </v>
      </c>
      <c r="AB45" s="20" t="e">
        <f>IF(A45&lt;('2. Inputs and results'!$C$21+1),AA45/L45,NA())</f>
        <v>#N/A</v>
      </c>
      <c r="AC45" s="29" t="str">
        <f>IF(A45&lt;('2. Inputs and results'!$C$21+1),AC44+C45+Y45-$V$6," ")</f>
        <v xml:space="preserve"> </v>
      </c>
      <c r="AD45" s="20" t="e">
        <f>IF(A45&lt;('2. Inputs and results'!$C$21+1),AC45/L45,NA())</f>
        <v>#N/A</v>
      </c>
      <c r="AE45" t="str">
        <f>IF(A45&lt;('2. Inputs and results'!$C$21+1),-'2. Inputs and results'!$C$121*A45," ")</f>
        <v xml:space="preserve"> </v>
      </c>
      <c r="AF45" t="e">
        <f>IF(A45&lt;('2. Inputs and results'!$C$21+1),AE45/1000,NA())</f>
        <v>#N/A</v>
      </c>
    </row>
    <row r="46" spans="1:32" x14ac:dyDescent="0.25">
      <c r="A46">
        <f t="shared" si="0"/>
        <v>41</v>
      </c>
      <c r="B46" t="str">
        <f>IF(A46&lt;('2. Inputs and results'!$C$21+1),A46," ")</f>
        <v xml:space="preserve"> </v>
      </c>
      <c r="C46" s="4" t="str">
        <f>IF(A46&lt;('2. Inputs and results'!$C$21+1),'2. Inputs and results'!$C$99+'2. Inputs and results'!$C$101," ")</f>
        <v xml:space="preserve"> </v>
      </c>
      <c r="D46" s="4" t="e">
        <f>IF(A46&lt;('2. Inputs and results'!$C$21+1),D45+C46,NA())</f>
        <v>#N/A</v>
      </c>
      <c r="E46" s="4" t="str">
        <f>IF(A46&lt;('2. Inputs and results'!$C$21+1),C46/((1+$P$2)^A46)," ")</f>
        <v xml:space="preserve"> </v>
      </c>
      <c r="F46" s="4" t="str">
        <f>IF(B46&lt;('2. Inputs and results'!$C$21+1),F45+E46," ")</f>
        <v xml:space="preserve"> </v>
      </c>
      <c r="G46" s="4" t="str">
        <f>IF(A46&lt;('2. Inputs and results'!$C$21+1),G45*(1+'2. Inputs and results'!$C$46)," ")</f>
        <v xml:space="preserve"> </v>
      </c>
      <c r="H46" s="4" t="str">
        <f>IF(A46&lt;('2. Inputs and results'!$C$21+1),H45*(1+'2. Inputs and results'!$C$58)," ")</f>
        <v xml:space="preserve"> </v>
      </c>
      <c r="I46" s="4" t="str">
        <f>IF(A46&lt;('2. Inputs and results'!$C$21+1),I45*(1+'2. Inputs and results'!$C$34)," ")</f>
        <v xml:space="preserve"> </v>
      </c>
      <c r="J46" s="4" t="str">
        <f>IF(A46&lt;('2. Inputs and results'!$C$21+1),J45*(1+'2. Inputs and results'!$C$68)," ")</f>
        <v xml:space="preserve"> </v>
      </c>
      <c r="K46" s="4" t="e">
        <f>IF(A46&lt;('2. Inputs and results'!$C$21+1),K45+(G46+I46+H46+J46),NA())</f>
        <v>#N/A</v>
      </c>
      <c r="L46" s="4" t="e">
        <f>IF(A46&lt;('2. Inputs and results'!$C$21+1),L45,NA())</f>
        <v>#N/A</v>
      </c>
      <c r="M46" s="4" t="str">
        <f>IF(A46&lt;('2. Inputs and results'!$C$21+1),'2. Inputs and results'!$C$75*'2. Inputs and results'!$C$73," ")</f>
        <v xml:space="preserve"> </v>
      </c>
      <c r="N46" s="4" t="str">
        <f>IF(A46&lt;('2. Inputs and results'!$C$21+1),M46/((1+$P$2)^A46)," ")</f>
        <v xml:space="preserve"> </v>
      </c>
      <c r="O46" s="4" t="str">
        <f>IF(A46&lt;('2. Inputs and results'!$C$21+1),'2. Inputs and results'!$C$73*'2. Inputs and results'!$C$75+O45," ")</f>
        <v xml:space="preserve"> </v>
      </c>
      <c r="P46" s="4" t="str">
        <f>IF(A46&lt;('2. Inputs and results'!$C$21+1),(G46+I46+H46+J46)/((1+$P$2)^A46)," ")</f>
        <v xml:space="preserve"> </v>
      </c>
      <c r="Q46" s="4" t="str">
        <f>IF(A46&lt;('2. Inputs and results'!$C$21+1),Q45+P46," ")</f>
        <v xml:space="preserve"> </v>
      </c>
      <c r="R46" s="4" t="e">
        <f>IF(A46&lt;('2. Inputs and results'!$C$21+1),R45+G46+I46+H46+J46+T46-$V$6,NA())</f>
        <v>#N/A</v>
      </c>
      <c r="S46" s="4" t="str">
        <f>IF(A46&lt;('2. Inputs and results'!$C$21+1),'2. Inputs and results'!$C$79*(R45)," ")</f>
        <v xml:space="preserve"> </v>
      </c>
      <c r="T46" s="4">
        <f t="shared" si="1"/>
        <v>0</v>
      </c>
      <c r="U46" s="4" t="e">
        <f>IF(A46&lt;('2. Inputs and results'!$C$21+1),U45+((G46+I46+H46+J46-$V$6+T46)/((1+$P$2)^A46)),NA())</f>
        <v>#N/A</v>
      </c>
      <c r="V46" s="4" t="str">
        <f>IF(A46&lt;('2. Inputs and results'!$C$21+1),V45+('2. Inputs and results'!$C$75*'2. Inputs and results'!$C$73)," ")</f>
        <v xml:space="preserve"> </v>
      </c>
      <c r="W46" s="4" t="e">
        <f>IF(A46&lt;('2. Inputs and results'!$C$21+1),W45+C46+Y46-$V$6,NA())</f>
        <v>#N/A</v>
      </c>
      <c r="X46" s="4" t="str">
        <f>IF(A46&lt;('2. Inputs and results'!$C$21+1),'2. Inputs and results'!$C$79*(W45)," ")</f>
        <v xml:space="preserve"> </v>
      </c>
      <c r="Y46" s="4">
        <f t="shared" si="2"/>
        <v>0</v>
      </c>
      <c r="Z46" s="4" t="e">
        <f>IF(A46&lt;('2. Inputs and results'!$C$21+1),Z45+((C46-$V$6+Y46)/((1+$P$2)^A46)),NA())</f>
        <v>#N/A</v>
      </c>
      <c r="AA46" s="4" t="str">
        <f>IF(A46&lt;('2. Inputs and results'!$C$21+1),AA45+G46+I46+H46+T46-$V$6," ")</f>
        <v xml:space="preserve"> </v>
      </c>
      <c r="AB46" s="20" t="e">
        <f>IF(A46&lt;('2. Inputs and results'!$C$21+1),AA46/L46,NA())</f>
        <v>#N/A</v>
      </c>
      <c r="AC46" s="29" t="str">
        <f>IF(A46&lt;('2. Inputs and results'!$C$21+1),AC45+C46+Y46-$V$6," ")</f>
        <v xml:space="preserve"> </v>
      </c>
      <c r="AD46" s="20" t="e">
        <f>IF(A46&lt;('2. Inputs and results'!$C$21+1),AC46/L46,NA())</f>
        <v>#N/A</v>
      </c>
      <c r="AE46" t="str">
        <f>IF(A46&lt;('2. Inputs and results'!$C$21+1),-'2. Inputs and results'!$C$121*A46," ")</f>
        <v xml:space="preserve"> </v>
      </c>
      <c r="AF46" t="e">
        <f>IF(A46&lt;('2. Inputs and results'!$C$21+1),AE46/1000,NA())</f>
        <v>#N/A</v>
      </c>
    </row>
    <row r="47" spans="1:32" x14ac:dyDescent="0.25">
      <c r="A47">
        <f t="shared" si="0"/>
        <v>42</v>
      </c>
      <c r="B47" t="str">
        <f>IF(A47&lt;('2. Inputs and results'!$C$21+1),A47," ")</f>
        <v xml:space="preserve"> </v>
      </c>
      <c r="C47" s="4" t="str">
        <f>IF(A47&lt;('2. Inputs and results'!$C$21+1),'2. Inputs and results'!$C$99+'2. Inputs and results'!$C$101," ")</f>
        <v xml:space="preserve"> </v>
      </c>
      <c r="D47" s="4" t="e">
        <f>IF(A47&lt;('2. Inputs and results'!$C$21+1),D46+C47,NA())</f>
        <v>#N/A</v>
      </c>
      <c r="E47" s="4" t="str">
        <f>IF(A47&lt;('2. Inputs and results'!$C$21+1),C47/((1+$P$2)^A47)," ")</f>
        <v xml:space="preserve"> </v>
      </c>
      <c r="F47" s="4" t="str">
        <f>IF(B47&lt;('2. Inputs and results'!$C$21+1),F46+E47," ")</f>
        <v xml:space="preserve"> </v>
      </c>
      <c r="G47" s="4" t="str">
        <f>IF(A47&lt;('2. Inputs and results'!$C$21+1),G46*(1+'2. Inputs and results'!$C$46)," ")</f>
        <v xml:space="preserve"> </v>
      </c>
      <c r="H47" s="4" t="str">
        <f>IF(A47&lt;('2. Inputs and results'!$C$21+1),H46*(1+'2. Inputs and results'!$C$58)," ")</f>
        <v xml:space="preserve"> </v>
      </c>
      <c r="I47" s="4" t="str">
        <f>IF(A47&lt;('2. Inputs and results'!$C$21+1),I46*(1+'2. Inputs and results'!$C$34)," ")</f>
        <v xml:space="preserve"> </v>
      </c>
      <c r="J47" s="4" t="str">
        <f>IF(A47&lt;('2. Inputs and results'!$C$21+1),J46*(1+'2. Inputs and results'!$C$68)," ")</f>
        <v xml:space="preserve"> </v>
      </c>
      <c r="K47" s="4" t="e">
        <f>IF(A47&lt;('2. Inputs and results'!$C$21+1),K46+(G47+I47+H47+J47),NA())</f>
        <v>#N/A</v>
      </c>
      <c r="L47" s="4" t="e">
        <f>IF(A47&lt;('2. Inputs and results'!$C$21+1),L46,NA())</f>
        <v>#N/A</v>
      </c>
      <c r="M47" s="4" t="str">
        <f>IF(A47&lt;('2. Inputs and results'!$C$21+1),'2. Inputs and results'!$C$75*'2. Inputs and results'!$C$73," ")</f>
        <v xml:space="preserve"> </v>
      </c>
      <c r="N47" s="4" t="str">
        <f>IF(A47&lt;('2. Inputs and results'!$C$21+1),M47/((1+$P$2)^A47)," ")</f>
        <v xml:space="preserve"> </v>
      </c>
      <c r="O47" s="4" t="str">
        <f>IF(A47&lt;('2. Inputs and results'!$C$21+1),'2. Inputs and results'!$C$73*'2. Inputs and results'!$C$75+O46," ")</f>
        <v xml:space="preserve"> </v>
      </c>
      <c r="P47" s="4" t="str">
        <f>IF(A47&lt;('2. Inputs and results'!$C$21+1),(G47+I47+H47+J47)/((1+$P$2)^A47)," ")</f>
        <v xml:space="preserve"> </v>
      </c>
      <c r="Q47" s="4" t="str">
        <f>IF(A47&lt;('2. Inputs and results'!$C$21+1),Q46+P47," ")</f>
        <v xml:space="preserve"> </v>
      </c>
      <c r="R47" s="4" t="e">
        <f>IF(A47&lt;('2. Inputs and results'!$C$21+1),R46+G47+I47+H47+J47+T47-$V$6,NA())</f>
        <v>#N/A</v>
      </c>
      <c r="S47" s="4" t="str">
        <f>IF(A47&lt;('2. Inputs and results'!$C$21+1),'2. Inputs and results'!$C$79*(R46)," ")</f>
        <v xml:space="preserve"> </v>
      </c>
      <c r="T47" s="4">
        <f t="shared" si="1"/>
        <v>0</v>
      </c>
      <c r="U47" s="4" t="e">
        <f>IF(A47&lt;('2. Inputs and results'!$C$21+1),U46+((G47+I47+H47+J47-$V$6+T47)/((1+$P$2)^A47)),NA())</f>
        <v>#N/A</v>
      </c>
      <c r="V47" s="4" t="str">
        <f>IF(A47&lt;('2. Inputs and results'!$C$21+1),V46+('2. Inputs and results'!$C$75*'2. Inputs and results'!$C$73)," ")</f>
        <v xml:space="preserve"> </v>
      </c>
      <c r="W47" s="4" t="e">
        <f>IF(A47&lt;('2. Inputs and results'!$C$21+1),W46+C47+Y47-$V$6,NA())</f>
        <v>#N/A</v>
      </c>
      <c r="X47" s="4" t="str">
        <f>IF(A47&lt;('2. Inputs and results'!$C$21+1),'2. Inputs and results'!$C$79*(W46)," ")</f>
        <v xml:space="preserve"> </v>
      </c>
      <c r="Y47" s="4">
        <f t="shared" si="2"/>
        <v>0</v>
      </c>
      <c r="Z47" s="4" t="e">
        <f>IF(A47&lt;('2. Inputs and results'!$C$21+1),Z46+((C47-$V$6+Y47)/((1+$P$2)^A47)),NA())</f>
        <v>#N/A</v>
      </c>
      <c r="AA47" s="4" t="str">
        <f>IF(A47&lt;('2. Inputs and results'!$C$21+1),AA46+G47+I47+H47+T47-$V$6," ")</f>
        <v xml:space="preserve"> </v>
      </c>
      <c r="AB47" s="20" t="e">
        <f>IF(A47&lt;('2. Inputs and results'!$C$21+1),AA47/L47,NA())</f>
        <v>#N/A</v>
      </c>
      <c r="AC47" s="29" t="str">
        <f>IF(A47&lt;('2. Inputs and results'!$C$21+1),AC46+C47+Y47-$V$6," ")</f>
        <v xml:space="preserve"> </v>
      </c>
      <c r="AD47" s="20" t="e">
        <f>IF(A47&lt;('2. Inputs and results'!$C$21+1),AC47/L47,NA())</f>
        <v>#N/A</v>
      </c>
      <c r="AE47" t="str">
        <f>IF(A47&lt;('2. Inputs and results'!$C$21+1),-'2. Inputs and results'!$C$121*A47," ")</f>
        <v xml:space="preserve"> </v>
      </c>
      <c r="AF47" t="e">
        <f>IF(A47&lt;('2. Inputs and results'!$C$21+1),AE47/1000,NA())</f>
        <v>#N/A</v>
      </c>
    </row>
    <row r="48" spans="1:32" x14ac:dyDescent="0.25">
      <c r="A48">
        <f t="shared" si="0"/>
        <v>43</v>
      </c>
      <c r="B48" t="str">
        <f>IF(A48&lt;('2. Inputs and results'!$C$21+1),A48," ")</f>
        <v xml:space="preserve"> </v>
      </c>
      <c r="C48" s="4" t="str">
        <f>IF(A48&lt;('2. Inputs and results'!$C$21+1),'2. Inputs and results'!$C$99+'2. Inputs and results'!$C$101," ")</f>
        <v xml:space="preserve"> </v>
      </c>
      <c r="D48" s="4" t="e">
        <f>IF(A48&lt;('2. Inputs and results'!$C$21+1),D47+C48,NA())</f>
        <v>#N/A</v>
      </c>
      <c r="E48" s="4" t="str">
        <f>IF(A48&lt;('2. Inputs and results'!$C$21+1),C48/((1+$P$2)^A48)," ")</f>
        <v xml:space="preserve"> </v>
      </c>
      <c r="F48" s="4" t="str">
        <f>IF(B48&lt;('2. Inputs and results'!$C$21+1),F47+E48," ")</f>
        <v xml:space="preserve"> </v>
      </c>
      <c r="G48" s="4" t="str">
        <f>IF(A48&lt;('2. Inputs and results'!$C$21+1),G47*(1+'2. Inputs and results'!$C$46)," ")</f>
        <v xml:space="preserve"> </v>
      </c>
      <c r="H48" s="4" t="str">
        <f>IF(A48&lt;('2. Inputs and results'!$C$21+1),H47*(1+'2. Inputs and results'!$C$58)," ")</f>
        <v xml:space="preserve"> </v>
      </c>
      <c r="I48" s="4" t="str">
        <f>IF(A48&lt;('2. Inputs and results'!$C$21+1),I47*(1+'2. Inputs and results'!$C$34)," ")</f>
        <v xml:space="preserve"> </v>
      </c>
      <c r="J48" s="4" t="str">
        <f>IF(A48&lt;('2. Inputs and results'!$C$21+1),J47*(1+'2. Inputs and results'!$C$68)," ")</f>
        <v xml:space="preserve"> </v>
      </c>
      <c r="K48" s="4" t="e">
        <f>IF(A48&lt;('2. Inputs and results'!$C$21+1),K47+(G48+I48+H48+J48),NA())</f>
        <v>#N/A</v>
      </c>
      <c r="L48" s="4" t="e">
        <f>IF(A48&lt;('2. Inputs and results'!$C$21+1),L47,NA())</f>
        <v>#N/A</v>
      </c>
      <c r="M48" s="4" t="str">
        <f>IF(A48&lt;('2. Inputs and results'!$C$21+1),'2. Inputs and results'!$C$75*'2. Inputs and results'!$C$73," ")</f>
        <v xml:space="preserve"> </v>
      </c>
      <c r="N48" s="4" t="str">
        <f>IF(A48&lt;('2. Inputs and results'!$C$21+1),M48/((1+$P$2)^A48)," ")</f>
        <v xml:space="preserve"> </v>
      </c>
      <c r="O48" s="4" t="str">
        <f>IF(A48&lt;('2. Inputs and results'!$C$21+1),'2. Inputs and results'!$C$73*'2. Inputs and results'!$C$75+O47," ")</f>
        <v xml:space="preserve"> </v>
      </c>
      <c r="P48" s="4" t="str">
        <f>IF(A48&lt;('2. Inputs and results'!$C$21+1),(G48+I48+H48+J48)/((1+$P$2)^A48)," ")</f>
        <v xml:space="preserve"> </v>
      </c>
      <c r="Q48" s="4" t="str">
        <f>IF(A48&lt;('2. Inputs and results'!$C$21+1),Q47+P48," ")</f>
        <v xml:space="preserve"> </v>
      </c>
      <c r="R48" s="4" t="e">
        <f>IF(A48&lt;('2. Inputs and results'!$C$21+1),R47+G48+I48+H48+J48+T48-$V$6,NA())</f>
        <v>#N/A</v>
      </c>
      <c r="S48" s="4" t="str">
        <f>IF(A48&lt;('2. Inputs and results'!$C$21+1),'2. Inputs and results'!$C$79*(R47)," ")</f>
        <v xml:space="preserve"> </v>
      </c>
      <c r="T48" s="4">
        <f t="shared" si="1"/>
        <v>0</v>
      </c>
      <c r="U48" s="4" t="e">
        <f>IF(A48&lt;('2. Inputs and results'!$C$21+1),U47+((G48+I48+H48+J48-$V$6+T48)/((1+$P$2)^A48)),NA())</f>
        <v>#N/A</v>
      </c>
      <c r="V48" s="4" t="str">
        <f>IF(A48&lt;('2. Inputs and results'!$C$21+1),V47+('2. Inputs and results'!$C$75*'2. Inputs and results'!$C$73)," ")</f>
        <v xml:space="preserve"> </v>
      </c>
      <c r="W48" s="4" t="e">
        <f>IF(A48&lt;('2. Inputs and results'!$C$21+1),W47+C48+Y48-$V$6,NA())</f>
        <v>#N/A</v>
      </c>
      <c r="X48" s="4" t="str">
        <f>IF(A48&lt;('2. Inputs and results'!$C$21+1),'2. Inputs and results'!$C$79*(W47)," ")</f>
        <v xml:space="preserve"> </v>
      </c>
      <c r="Y48" s="4">
        <f t="shared" si="2"/>
        <v>0</v>
      </c>
      <c r="Z48" s="4" t="e">
        <f>IF(A48&lt;('2. Inputs and results'!$C$21+1),Z47+((C48-$V$6+Y48)/((1+$P$2)^A48)),NA())</f>
        <v>#N/A</v>
      </c>
      <c r="AA48" s="4" t="str">
        <f>IF(A48&lt;('2. Inputs and results'!$C$21+1),AA47+G48+I48+H48+T48-$V$6," ")</f>
        <v xml:space="preserve"> </v>
      </c>
      <c r="AB48" s="20" t="e">
        <f>IF(A48&lt;('2. Inputs and results'!$C$21+1),AA48/L48,NA())</f>
        <v>#N/A</v>
      </c>
      <c r="AC48" s="29" t="str">
        <f>IF(A48&lt;('2. Inputs and results'!$C$21+1),AC47+C48+Y48-$V$6," ")</f>
        <v xml:space="preserve"> </v>
      </c>
      <c r="AD48" s="20" t="e">
        <f>IF(A48&lt;('2. Inputs and results'!$C$21+1),AC48/L48,NA())</f>
        <v>#N/A</v>
      </c>
      <c r="AE48" t="str">
        <f>IF(A48&lt;('2. Inputs and results'!$C$21+1),-'2. Inputs and results'!$C$121*A48," ")</f>
        <v xml:space="preserve"> </v>
      </c>
      <c r="AF48" t="e">
        <f>IF(A48&lt;('2. Inputs and results'!$C$21+1),AE48/1000,NA())</f>
        <v>#N/A</v>
      </c>
    </row>
    <row r="49" spans="1:32" x14ac:dyDescent="0.25">
      <c r="A49">
        <f t="shared" si="0"/>
        <v>44</v>
      </c>
      <c r="B49" t="str">
        <f>IF(A49&lt;('2. Inputs and results'!$C$21+1),A49," ")</f>
        <v xml:space="preserve"> </v>
      </c>
      <c r="C49" s="4" t="str">
        <f>IF(A49&lt;('2. Inputs and results'!$C$21+1),'2. Inputs and results'!$C$99+'2. Inputs and results'!$C$101," ")</f>
        <v xml:space="preserve"> </v>
      </c>
      <c r="D49" s="4" t="e">
        <f>IF(A49&lt;('2. Inputs and results'!$C$21+1),D48+C49,NA())</f>
        <v>#N/A</v>
      </c>
      <c r="E49" s="4" t="str">
        <f>IF(A49&lt;('2. Inputs and results'!$C$21+1),C49/((1+$P$2)^A49)," ")</f>
        <v xml:space="preserve"> </v>
      </c>
      <c r="F49" s="4" t="str">
        <f>IF(B49&lt;('2. Inputs and results'!$C$21+1),F48+E49," ")</f>
        <v xml:space="preserve"> </v>
      </c>
      <c r="G49" s="4" t="str">
        <f>IF(A49&lt;('2. Inputs and results'!$C$21+1),G48*(1+'2. Inputs and results'!$C$46)," ")</f>
        <v xml:space="preserve"> </v>
      </c>
      <c r="H49" s="4" t="str">
        <f>IF(A49&lt;('2. Inputs and results'!$C$21+1),H48*(1+'2. Inputs and results'!$C$58)," ")</f>
        <v xml:space="preserve"> </v>
      </c>
      <c r="I49" s="4" t="str">
        <f>IF(A49&lt;('2. Inputs and results'!$C$21+1),I48*(1+'2. Inputs and results'!$C$34)," ")</f>
        <v xml:space="preserve"> </v>
      </c>
      <c r="J49" s="4" t="str">
        <f>IF(A49&lt;('2. Inputs and results'!$C$21+1),J48*(1+'2. Inputs and results'!$C$68)," ")</f>
        <v xml:space="preserve"> </v>
      </c>
      <c r="K49" s="4" t="e">
        <f>IF(A49&lt;('2. Inputs and results'!$C$21+1),K48+(G49+I49+H49+J49),NA())</f>
        <v>#N/A</v>
      </c>
      <c r="L49" s="4" t="e">
        <f>IF(A49&lt;('2. Inputs and results'!$C$21+1),L48,NA())</f>
        <v>#N/A</v>
      </c>
      <c r="M49" s="4" t="str">
        <f>IF(A49&lt;('2. Inputs and results'!$C$21+1),'2. Inputs and results'!$C$75*'2. Inputs and results'!$C$73," ")</f>
        <v xml:space="preserve"> </v>
      </c>
      <c r="N49" s="4" t="str">
        <f>IF(A49&lt;('2. Inputs and results'!$C$21+1),M49/((1+$P$2)^A49)," ")</f>
        <v xml:space="preserve"> </v>
      </c>
      <c r="O49" s="4" t="str">
        <f>IF(A49&lt;('2. Inputs and results'!$C$21+1),'2. Inputs and results'!$C$73*'2. Inputs and results'!$C$75+O48," ")</f>
        <v xml:space="preserve"> </v>
      </c>
      <c r="P49" s="4" t="str">
        <f>IF(A49&lt;('2. Inputs and results'!$C$21+1),(G49+I49+H49+J49)/((1+$P$2)^A49)," ")</f>
        <v xml:space="preserve"> </v>
      </c>
      <c r="Q49" s="4" t="str">
        <f>IF(A49&lt;('2. Inputs and results'!$C$21+1),Q48+P49," ")</f>
        <v xml:space="preserve"> </v>
      </c>
      <c r="R49" s="4" t="e">
        <f>IF(A49&lt;('2. Inputs and results'!$C$21+1),R48+G49+I49+H49+J49+T49-$V$6,NA())</f>
        <v>#N/A</v>
      </c>
      <c r="S49" s="4" t="str">
        <f>IF(A49&lt;('2. Inputs and results'!$C$21+1),'2. Inputs and results'!$C$79*(R48)," ")</f>
        <v xml:space="preserve"> </v>
      </c>
      <c r="T49" s="4">
        <f t="shared" si="1"/>
        <v>0</v>
      </c>
      <c r="U49" s="4" t="e">
        <f>IF(A49&lt;('2. Inputs and results'!$C$21+1),U48+((G49+I49+H49+J49-$V$6+T49)/((1+$P$2)^A49)),NA())</f>
        <v>#N/A</v>
      </c>
      <c r="V49" s="4" t="str">
        <f>IF(A49&lt;('2. Inputs and results'!$C$21+1),V48+('2. Inputs and results'!$C$75*'2. Inputs and results'!$C$73)," ")</f>
        <v xml:space="preserve"> </v>
      </c>
      <c r="W49" s="4" t="e">
        <f>IF(A49&lt;('2. Inputs and results'!$C$21+1),W48+C49+Y49-$V$6,NA())</f>
        <v>#N/A</v>
      </c>
      <c r="X49" s="4" t="str">
        <f>IF(A49&lt;('2. Inputs and results'!$C$21+1),'2. Inputs and results'!$C$79*(W48)," ")</f>
        <v xml:space="preserve"> </v>
      </c>
      <c r="Y49" s="4">
        <f t="shared" si="2"/>
        <v>0</v>
      </c>
      <c r="Z49" s="4" t="e">
        <f>IF(A49&lt;('2. Inputs and results'!$C$21+1),Z48+((C49-$V$6+Y49)/((1+$P$2)^A49)),NA())</f>
        <v>#N/A</v>
      </c>
      <c r="AA49" s="4" t="str">
        <f>IF(A49&lt;('2. Inputs and results'!$C$21+1),AA48+G49+I49+H49+T49-$V$6," ")</f>
        <v xml:space="preserve"> </v>
      </c>
      <c r="AB49" s="20" t="e">
        <f>IF(A49&lt;('2. Inputs and results'!$C$21+1),AA49/L49,NA())</f>
        <v>#N/A</v>
      </c>
      <c r="AC49" s="29" t="str">
        <f>IF(A49&lt;('2. Inputs and results'!$C$21+1),AC48+C49+Y49-$V$6," ")</f>
        <v xml:space="preserve"> </v>
      </c>
      <c r="AD49" s="20" t="e">
        <f>IF(A49&lt;('2. Inputs and results'!$C$21+1),AC49/L49,NA())</f>
        <v>#N/A</v>
      </c>
      <c r="AE49" t="str">
        <f>IF(A49&lt;('2. Inputs and results'!$C$21+1),-'2. Inputs and results'!$C$121*A49," ")</f>
        <v xml:space="preserve"> </v>
      </c>
      <c r="AF49" t="e">
        <f>IF(A49&lt;('2. Inputs and results'!$C$21+1),AE49/1000,NA())</f>
        <v>#N/A</v>
      </c>
    </row>
    <row r="50" spans="1:32" x14ac:dyDescent="0.25">
      <c r="A50">
        <f t="shared" si="0"/>
        <v>45</v>
      </c>
      <c r="B50" t="str">
        <f>IF(A50&lt;('2. Inputs and results'!$C$21+1),A50," ")</f>
        <v xml:space="preserve"> </v>
      </c>
      <c r="C50" s="4" t="str">
        <f>IF(A50&lt;('2. Inputs and results'!$C$21+1),'2. Inputs and results'!$C$99+'2. Inputs and results'!$C$101," ")</f>
        <v xml:space="preserve"> </v>
      </c>
      <c r="D50" s="4" t="e">
        <f>IF(A50&lt;('2. Inputs and results'!$C$21+1),D49+C50,NA())</f>
        <v>#N/A</v>
      </c>
      <c r="E50" s="4" t="str">
        <f>IF(A50&lt;('2. Inputs and results'!$C$21+1),C50/((1+$P$2)^A50)," ")</f>
        <v xml:space="preserve"> </v>
      </c>
      <c r="F50" s="4" t="str">
        <f>IF(B50&lt;('2. Inputs and results'!$C$21+1),F49+E50," ")</f>
        <v xml:space="preserve"> </v>
      </c>
      <c r="G50" s="4" t="str">
        <f>IF(A50&lt;('2. Inputs and results'!$C$21+1),G49*(1+'2. Inputs and results'!$C$46)," ")</f>
        <v xml:space="preserve"> </v>
      </c>
      <c r="H50" s="4" t="str">
        <f>IF(A50&lt;('2. Inputs and results'!$C$21+1),H49*(1+'2. Inputs and results'!$C$58)," ")</f>
        <v xml:space="preserve"> </v>
      </c>
      <c r="I50" s="4" t="str">
        <f>IF(A50&lt;('2. Inputs and results'!$C$21+1),I49*(1+'2. Inputs and results'!$C$34)," ")</f>
        <v xml:space="preserve"> </v>
      </c>
      <c r="J50" s="4" t="str">
        <f>IF(A50&lt;('2. Inputs and results'!$C$21+1),J49*(1+'2. Inputs and results'!$C$68)," ")</f>
        <v xml:space="preserve"> </v>
      </c>
      <c r="K50" s="4" t="e">
        <f>IF(A50&lt;('2. Inputs and results'!$C$21+1),K49+(G50+I50+H50+J50),NA())</f>
        <v>#N/A</v>
      </c>
      <c r="L50" s="4" t="e">
        <f>IF(A50&lt;('2. Inputs and results'!$C$21+1),L49,NA())</f>
        <v>#N/A</v>
      </c>
      <c r="M50" s="4" t="str">
        <f>IF(A50&lt;('2. Inputs and results'!$C$21+1),'2. Inputs and results'!$C$75*'2. Inputs and results'!$C$73," ")</f>
        <v xml:space="preserve"> </v>
      </c>
      <c r="N50" s="4" t="str">
        <f>IF(A50&lt;('2. Inputs and results'!$C$21+1),M50/((1+$P$2)^A50)," ")</f>
        <v xml:space="preserve"> </v>
      </c>
      <c r="O50" s="4" t="str">
        <f>IF(A50&lt;('2. Inputs and results'!$C$21+1),'2. Inputs and results'!$C$73*'2. Inputs and results'!$C$75+O49," ")</f>
        <v xml:space="preserve"> </v>
      </c>
      <c r="P50" s="4" t="str">
        <f>IF(A50&lt;('2. Inputs and results'!$C$21+1),(G50+I50+H50+J50)/((1+$P$2)^A50)," ")</f>
        <v xml:space="preserve"> </v>
      </c>
      <c r="Q50" s="4" t="str">
        <f>IF(A50&lt;('2. Inputs and results'!$C$21+1),Q49+P50," ")</f>
        <v xml:space="preserve"> </v>
      </c>
      <c r="R50" s="4" t="e">
        <f>IF(A50&lt;('2. Inputs and results'!$C$21+1),R49+G50+I50+H50+J50+T50-$V$6,NA())</f>
        <v>#N/A</v>
      </c>
      <c r="S50" s="4" t="str">
        <f>IF(A50&lt;('2. Inputs and results'!$C$21+1),'2. Inputs and results'!$C$79*(R49)," ")</f>
        <v xml:space="preserve"> </v>
      </c>
      <c r="T50" s="4">
        <f t="shared" si="1"/>
        <v>0</v>
      </c>
      <c r="U50" s="4" t="e">
        <f>IF(A50&lt;('2. Inputs and results'!$C$21+1),U49+((G50+I50+H50+J50-$V$6+T50)/((1+$P$2)^A50)),NA())</f>
        <v>#N/A</v>
      </c>
      <c r="V50" s="4" t="str">
        <f>IF(A50&lt;('2. Inputs and results'!$C$21+1),V49+('2. Inputs and results'!$C$75*'2. Inputs and results'!$C$73)," ")</f>
        <v xml:space="preserve"> </v>
      </c>
      <c r="W50" s="4" t="e">
        <f>IF(A50&lt;('2. Inputs and results'!$C$21+1),W49+C50+Y50-$V$6,NA())</f>
        <v>#N/A</v>
      </c>
      <c r="X50" s="4" t="str">
        <f>IF(A50&lt;('2. Inputs and results'!$C$21+1),'2. Inputs and results'!$C$79*(W49)," ")</f>
        <v xml:space="preserve"> </v>
      </c>
      <c r="Y50" s="4">
        <f t="shared" si="2"/>
        <v>0</v>
      </c>
      <c r="Z50" s="4" t="e">
        <f>IF(A50&lt;('2. Inputs and results'!$C$21+1),Z49+((C50-$V$6+Y50)/((1+$P$2)^A50)),NA())</f>
        <v>#N/A</v>
      </c>
      <c r="AA50" s="4" t="str">
        <f>IF(A50&lt;('2. Inputs and results'!$C$21+1),AA49+G50+I50+H50+T50-$V$6," ")</f>
        <v xml:space="preserve"> </v>
      </c>
      <c r="AB50" s="20" t="e">
        <f>IF(A50&lt;('2. Inputs and results'!$C$21+1),AA50/L50,NA())</f>
        <v>#N/A</v>
      </c>
      <c r="AC50" s="29" t="str">
        <f>IF(A50&lt;('2. Inputs and results'!$C$21+1),AC49+C50+Y50-$V$6," ")</f>
        <v xml:space="preserve"> </v>
      </c>
      <c r="AD50" s="20" t="e">
        <f>IF(A50&lt;('2. Inputs and results'!$C$21+1),AC50/L50,NA())</f>
        <v>#N/A</v>
      </c>
      <c r="AE50" t="str">
        <f>IF(A50&lt;('2. Inputs and results'!$C$21+1),-'2. Inputs and results'!$C$121*A50," ")</f>
        <v xml:space="preserve"> </v>
      </c>
      <c r="AF50" t="e">
        <f>IF(A50&lt;('2. Inputs and results'!$C$21+1),AE50/1000,NA())</f>
        <v>#N/A</v>
      </c>
    </row>
    <row r="51" spans="1:32" x14ac:dyDescent="0.25">
      <c r="A51">
        <f t="shared" si="0"/>
        <v>46</v>
      </c>
      <c r="B51" t="str">
        <f>IF(A51&lt;('2. Inputs and results'!$C$21+1),A51," ")</f>
        <v xml:space="preserve"> </v>
      </c>
      <c r="C51" s="4" t="str">
        <f>IF(A51&lt;('2. Inputs and results'!$C$21+1),'2. Inputs and results'!$C$99+'2. Inputs and results'!$C$101," ")</f>
        <v xml:space="preserve"> </v>
      </c>
      <c r="D51" s="4" t="e">
        <f>IF(A51&lt;('2. Inputs and results'!$C$21+1),D50+C51,NA())</f>
        <v>#N/A</v>
      </c>
      <c r="E51" s="4" t="str">
        <f>IF(A51&lt;('2. Inputs and results'!$C$21+1),C51/((1+$P$2)^A51)," ")</f>
        <v xml:space="preserve"> </v>
      </c>
      <c r="F51" s="4" t="str">
        <f>IF(B51&lt;('2. Inputs and results'!$C$21+1),F50+E51," ")</f>
        <v xml:space="preserve"> </v>
      </c>
      <c r="G51" s="4" t="str">
        <f>IF(A51&lt;('2. Inputs and results'!$C$21+1),G50*(1+'2. Inputs and results'!$C$46)," ")</f>
        <v xml:space="preserve"> </v>
      </c>
      <c r="H51" s="4" t="str">
        <f>IF(A51&lt;('2. Inputs and results'!$C$21+1),H50*(1+'2. Inputs and results'!$C$58)," ")</f>
        <v xml:space="preserve"> </v>
      </c>
      <c r="I51" s="4" t="str">
        <f>IF(A51&lt;('2. Inputs and results'!$C$21+1),I50*(1+'2. Inputs and results'!$C$34)," ")</f>
        <v xml:space="preserve"> </v>
      </c>
      <c r="J51" s="4" t="str">
        <f>IF(A51&lt;('2. Inputs and results'!$C$21+1),J50*(1+'2. Inputs and results'!$C$68)," ")</f>
        <v xml:space="preserve"> </v>
      </c>
      <c r="K51" s="4" t="e">
        <f>IF(A51&lt;('2. Inputs and results'!$C$21+1),K50+(G51+I51+H51+J51),NA())</f>
        <v>#N/A</v>
      </c>
      <c r="L51" s="4" t="e">
        <f>IF(A51&lt;('2. Inputs and results'!$C$21+1),L50,NA())</f>
        <v>#N/A</v>
      </c>
      <c r="M51" s="4" t="str">
        <f>IF(A51&lt;('2. Inputs and results'!$C$21+1),'2. Inputs and results'!$C$75*'2. Inputs and results'!$C$73," ")</f>
        <v xml:space="preserve"> </v>
      </c>
      <c r="N51" s="4" t="str">
        <f>IF(A51&lt;('2. Inputs and results'!$C$21+1),M51/((1+$P$2)^A51)," ")</f>
        <v xml:space="preserve"> </v>
      </c>
      <c r="O51" s="4" t="str">
        <f>IF(A51&lt;('2. Inputs and results'!$C$21+1),'2. Inputs and results'!$C$73*'2. Inputs and results'!$C$75+O50," ")</f>
        <v xml:space="preserve"> </v>
      </c>
      <c r="P51" s="4" t="str">
        <f>IF(A51&lt;('2. Inputs and results'!$C$21+1),(G51+I51+H51+J51)/((1+$P$2)^A51)," ")</f>
        <v xml:space="preserve"> </v>
      </c>
      <c r="Q51" s="4" t="str">
        <f>IF(A51&lt;('2. Inputs and results'!$C$21+1),Q50+P51," ")</f>
        <v xml:space="preserve"> </v>
      </c>
      <c r="R51" s="4" t="e">
        <f>IF(A51&lt;('2. Inputs and results'!$C$21+1),R50+G51+I51+H51+J51+T51-$V$6,NA())</f>
        <v>#N/A</v>
      </c>
      <c r="S51" s="4" t="str">
        <f>IF(A51&lt;('2. Inputs and results'!$C$21+1),'2. Inputs and results'!$C$79*(R50)," ")</f>
        <v xml:space="preserve"> </v>
      </c>
      <c r="T51" s="4">
        <f t="shared" si="1"/>
        <v>0</v>
      </c>
      <c r="U51" s="4" t="e">
        <f>IF(A51&lt;('2. Inputs and results'!$C$21+1),U50+((G51+I51+H51+J51-$V$6+T51)/((1+$P$2)^A51)),NA())</f>
        <v>#N/A</v>
      </c>
      <c r="V51" s="4" t="str">
        <f>IF(A51&lt;('2. Inputs and results'!$C$21+1),V50+('2. Inputs and results'!$C$75*'2. Inputs and results'!$C$73)," ")</f>
        <v xml:space="preserve"> </v>
      </c>
      <c r="W51" s="4" t="e">
        <f>IF(A51&lt;('2. Inputs and results'!$C$21+1),W50+C51+Y51-$V$6,NA())</f>
        <v>#N/A</v>
      </c>
      <c r="X51" s="4" t="str">
        <f>IF(A51&lt;('2. Inputs and results'!$C$21+1),'2. Inputs and results'!$C$79*(W50)," ")</f>
        <v xml:space="preserve"> </v>
      </c>
      <c r="Y51" s="4">
        <f t="shared" si="2"/>
        <v>0</v>
      </c>
      <c r="Z51" s="4" t="e">
        <f>IF(A51&lt;('2. Inputs and results'!$C$21+1),Z50+((C51-$V$6+Y51)/((1+$P$2)^A51)),NA())</f>
        <v>#N/A</v>
      </c>
      <c r="AA51" s="4" t="str">
        <f>IF(A51&lt;('2. Inputs and results'!$C$21+1),AA50+G51+I51+H51+T51-$V$6," ")</f>
        <v xml:space="preserve"> </v>
      </c>
      <c r="AB51" s="20" t="e">
        <f>IF(A51&lt;('2. Inputs and results'!$C$21+1),AA51/L51,NA())</f>
        <v>#N/A</v>
      </c>
      <c r="AC51" s="29" t="str">
        <f>IF(A51&lt;('2. Inputs and results'!$C$21+1),AC50+C51+Y51-$V$6," ")</f>
        <v xml:space="preserve"> </v>
      </c>
      <c r="AD51" s="20" t="e">
        <f>IF(A51&lt;('2. Inputs and results'!$C$21+1),AC51/L51,NA())</f>
        <v>#N/A</v>
      </c>
      <c r="AE51" t="str">
        <f>IF(A51&lt;('2. Inputs and results'!$C$21+1),-'2. Inputs and results'!$C$121*A51," ")</f>
        <v xml:space="preserve"> </v>
      </c>
      <c r="AF51" t="e">
        <f>IF(A51&lt;('2. Inputs and results'!$C$21+1),AE51/1000,NA())</f>
        <v>#N/A</v>
      </c>
    </row>
    <row r="52" spans="1:32" x14ac:dyDescent="0.25">
      <c r="A52">
        <f>A51+1</f>
        <v>47</v>
      </c>
      <c r="B52" t="str">
        <f>IF(A52&lt;('2. Inputs and results'!$C$21+1),A52," ")</f>
        <v xml:space="preserve"> </v>
      </c>
      <c r="C52" s="4" t="str">
        <f>IF(A52&lt;('2. Inputs and results'!$C$21+1),'2. Inputs and results'!$C$99+'2. Inputs and results'!$C$101," ")</f>
        <v xml:space="preserve"> </v>
      </c>
      <c r="D52" s="4" t="e">
        <f>IF(A52&lt;('2. Inputs and results'!$C$21+1),D51+C52,NA())</f>
        <v>#N/A</v>
      </c>
      <c r="E52" s="4" t="str">
        <f>IF(A52&lt;('2. Inputs and results'!$C$21+1),C52/((1+$P$2)^A52)," ")</f>
        <v xml:space="preserve"> </v>
      </c>
      <c r="F52" s="4" t="str">
        <f>IF(B52&lt;('2. Inputs and results'!$C$21+1),F51+E52," ")</f>
        <v xml:space="preserve"> </v>
      </c>
      <c r="G52" s="4" t="str">
        <f>IF(A52&lt;('2. Inputs and results'!$C$21+1),G51*(1+'2. Inputs and results'!$C$46)," ")</f>
        <v xml:space="preserve"> </v>
      </c>
      <c r="H52" s="4" t="str">
        <f>IF(A52&lt;('2. Inputs and results'!$C$21+1),H51*(1+'2. Inputs and results'!$C$58)," ")</f>
        <v xml:space="preserve"> </v>
      </c>
      <c r="I52" s="4" t="str">
        <f>IF(A52&lt;('2. Inputs and results'!$C$21+1),I51*(1+'2. Inputs and results'!$C$34)," ")</f>
        <v xml:space="preserve"> </v>
      </c>
      <c r="J52" s="4" t="str">
        <f>IF(A52&lt;('2. Inputs and results'!$C$21+1),J51*(1+'2. Inputs and results'!$C$68)," ")</f>
        <v xml:space="preserve"> </v>
      </c>
      <c r="K52" s="4" t="e">
        <f>IF(A52&lt;('2. Inputs and results'!$C$21+1),K51+(G52+I52+H52+J52),NA())</f>
        <v>#N/A</v>
      </c>
      <c r="L52" s="4" t="e">
        <f>IF(A52&lt;('2. Inputs and results'!$C$21+1),L51,NA())</f>
        <v>#N/A</v>
      </c>
      <c r="M52" s="4" t="str">
        <f>IF(A52&lt;('2. Inputs and results'!$C$21+1),'2. Inputs and results'!$C$75*'2. Inputs and results'!$C$73," ")</f>
        <v xml:space="preserve"> </v>
      </c>
      <c r="N52" s="4" t="str">
        <f>IF(A52&lt;('2. Inputs and results'!$C$21+1),M52/((1+$P$2)^A52)," ")</f>
        <v xml:space="preserve"> </v>
      </c>
      <c r="O52" s="4" t="str">
        <f>IF(A52&lt;('2. Inputs and results'!$C$21+1),'2. Inputs and results'!$C$73*'2. Inputs and results'!$C$75+O51," ")</f>
        <v xml:space="preserve"> </v>
      </c>
      <c r="P52" s="4" t="str">
        <f>IF(A52&lt;('2. Inputs and results'!$C$21+1),(G52+I52+H52+J52)/((1+$P$2)^A52)," ")</f>
        <v xml:space="preserve"> </v>
      </c>
      <c r="Q52" s="4" t="str">
        <f>IF(A52&lt;('2. Inputs and results'!$C$21+1),Q51+P52," ")</f>
        <v xml:space="preserve"> </v>
      </c>
      <c r="R52" s="4" t="e">
        <f>IF(A52&lt;('2. Inputs and results'!$C$21+1),R51+G52+I52+H52+J52+T52-$V$6,NA())</f>
        <v>#N/A</v>
      </c>
      <c r="S52" s="4" t="str">
        <f>IF(A52&lt;('2. Inputs and results'!$C$21+1),'2. Inputs and results'!$C$79*(R51)," ")</f>
        <v xml:space="preserve"> </v>
      </c>
      <c r="T52" s="4">
        <f t="shared" si="1"/>
        <v>0</v>
      </c>
      <c r="U52" s="4" t="e">
        <f>IF(A52&lt;('2. Inputs and results'!$C$21+1),U51+((G52+I52+H52+J52-$V$6+T52)/((1+$P$2)^A52)),NA())</f>
        <v>#N/A</v>
      </c>
      <c r="V52" s="4" t="str">
        <f>IF(A52&lt;('2. Inputs and results'!$C$21+1),V51+('2. Inputs and results'!$C$75*'2. Inputs and results'!$C$73)," ")</f>
        <v xml:space="preserve"> </v>
      </c>
      <c r="W52" s="4" t="e">
        <f>IF(A52&lt;('2. Inputs and results'!$C$21+1),W51+C52+Y52-$V$6,NA())</f>
        <v>#N/A</v>
      </c>
      <c r="X52" s="4" t="str">
        <f>IF(A52&lt;('2. Inputs and results'!$C$21+1),'2. Inputs and results'!$C$79*(W51)," ")</f>
        <v xml:space="preserve"> </v>
      </c>
      <c r="Y52" s="4">
        <f t="shared" si="2"/>
        <v>0</v>
      </c>
      <c r="Z52" s="4" t="e">
        <f>IF(A52&lt;('2. Inputs and results'!$C$21+1),Z51+((C52-$V$6+Y52)/((1+$P$2)^A52)),NA())</f>
        <v>#N/A</v>
      </c>
      <c r="AA52" s="4" t="str">
        <f>IF(A52&lt;('2. Inputs and results'!$C$21+1),AA51+G52+I52+H52+T52-$V$6," ")</f>
        <v xml:space="preserve"> </v>
      </c>
      <c r="AB52" s="20" t="e">
        <f>IF(A52&lt;('2. Inputs and results'!$C$21+1),AA52/L52,NA())</f>
        <v>#N/A</v>
      </c>
      <c r="AC52" s="29" t="str">
        <f>IF(A52&lt;('2. Inputs and results'!$C$21+1),AC51+C52+Y52-$V$6," ")</f>
        <v xml:space="preserve"> </v>
      </c>
      <c r="AD52" s="20" t="e">
        <f>IF(A52&lt;('2. Inputs and results'!$C$21+1),AC52/L52,NA())</f>
        <v>#N/A</v>
      </c>
      <c r="AE52" t="str">
        <f>IF(A52&lt;('2. Inputs and results'!$C$21+1),-'2. Inputs and results'!$C$121*A52," ")</f>
        <v xml:space="preserve"> </v>
      </c>
      <c r="AF52" t="e">
        <f>IF(A52&lt;('2. Inputs and results'!$C$21+1),AE52/1000,NA())</f>
        <v>#N/A</v>
      </c>
    </row>
    <row r="53" spans="1:32" x14ac:dyDescent="0.25">
      <c r="A53">
        <f t="shared" si="0"/>
        <v>48</v>
      </c>
      <c r="B53" t="str">
        <f>IF(A53&lt;('2. Inputs and results'!$C$21+1),A53," ")</f>
        <v xml:space="preserve"> </v>
      </c>
      <c r="C53" s="4" t="str">
        <f>IF(A53&lt;('2. Inputs and results'!$C$21+1),'2. Inputs and results'!$C$99+'2. Inputs and results'!$C$101," ")</f>
        <v xml:space="preserve"> </v>
      </c>
      <c r="D53" s="4" t="e">
        <f>IF(A53&lt;('2. Inputs and results'!$C$21+1),D52+C53,NA())</f>
        <v>#N/A</v>
      </c>
      <c r="E53" s="4" t="str">
        <f>IF(A53&lt;('2. Inputs and results'!$C$21+1),C53/((1+$P$2)^A53)," ")</f>
        <v xml:space="preserve"> </v>
      </c>
      <c r="F53" s="4" t="str">
        <f>IF(B53&lt;('2. Inputs and results'!$C$21+1),F52+E53," ")</f>
        <v xml:space="preserve"> </v>
      </c>
      <c r="G53" s="4" t="str">
        <f>IF(A53&lt;('2. Inputs and results'!$C$21+1),G52*(1+'2. Inputs and results'!$C$46)," ")</f>
        <v xml:space="preserve"> </v>
      </c>
      <c r="H53" s="4" t="str">
        <f>IF(A53&lt;('2. Inputs and results'!$C$21+1),H52*(1+'2. Inputs and results'!$C$58)," ")</f>
        <v xml:space="preserve"> </v>
      </c>
      <c r="I53" s="4" t="str">
        <f>IF(A53&lt;('2. Inputs and results'!$C$21+1),I52*(1+'2. Inputs and results'!$C$34)," ")</f>
        <v xml:space="preserve"> </v>
      </c>
      <c r="J53" s="4" t="str">
        <f>IF(A53&lt;('2. Inputs and results'!$C$21+1),J52*(1+'2. Inputs and results'!$C$68)," ")</f>
        <v xml:space="preserve"> </v>
      </c>
      <c r="K53" s="4" t="e">
        <f>IF(A53&lt;('2. Inputs and results'!$C$21+1),K52+(G53+I53+H53+J53),NA())</f>
        <v>#N/A</v>
      </c>
      <c r="L53" s="4" t="e">
        <f>IF(A53&lt;('2. Inputs and results'!$C$21+1),L52,NA())</f>
        <v>#N/A</v>
      </c>
      <c r="M53" s="4" t="str">
        <f>IF(A53&lt;('2. Inputs and results'!$C$21+1),'2. Inputs and results'!$C$75*'2. Inputs and results'!$C$73," ")</f>
        <v xml:space="preserve"> </v>
      </c>
      <c r="N53" s="4" t="str">
        <f>IF(A53&lt;('2. Inputs and results'!$C$21+1),M53/((1+$P$2)^A53)," ")</f>
        <v xml:space="preserve"> </v>
      </c>
      <c r="O53" s="4" t="str">
        <f>IF(A53&lt;('2. Inputs and results'!$C$21+1),'2. Inputs and results'!$C$73*'2. Inputs and results'!$C$75+O52," ")</f>
        <v xml:space="preserve"> </v>
      </c>
      <c r="P53" s="4" t="str">
        <f>IF(A53&lt;('2. Inputs and results'!$C$21+1),(G53+I53+H53+J53)/((1+$P$2)^A53)," ")</f>
        <v xml:space="preserve"> </v>
      </c>
      <c r="Q53" s="4" t="str">
        <f>IF(A53&lt;('2. Inputs and results'!$C$21+1),Q52+P53," ")</f>
        <v xml:space="preserve"> </v>
      </c>
      <c r="R53" s="4" t="e">
        <f>IF(A53&lt;('2. Inputs and results'!$C$21+1),R52+G53+I53+H53+J53+T53-$V$6,NA())</f>
        <v>#N/A</v>
      </c>
      <c r="S53" s="4" t="str">
        <f>IF(A53&lt;('2. Inputs and results'!$C$21+1),'2. Inputs and results'!$C$79*(R52)," ")</f>
        <v xml:space="preserve"> </v>
      </c>
      <c r="T53" s="4">
        <f t="shared" si="1"/>
        <v>0</v>
      </c>
      <c r="U53" s="4" t="e">
        <f>IF(A53&lt;('2. Inputs and results'!$C$21+1),U52+((G53+I53+H53+J53-$V$6+T53)/((1+$P$2)^A53)),NA())</f>
        <v>#N/A</v>
      </c>
      <c r="V53" s="4" t="str">
        <f>IF(A53&lt;('2. Inputs and results'!$C$21+1),V52+('2. Inputs and results'!$C$75*'2. Inputs and results'!$C$73)," ")</f>
        <v xml:space="preserve"> </v>
      </c>
      <c r="W53" s="4" t="e">
        <f>IF(A53&lt;('2. Inputs and results'!$C$21+1),W52+C53+Y53-$V$6,NA())</f>
        <v>#N/A</v>
      </c>
      <c r="X53" s="4" t="str">
        <f>IF(A53&lt;('2. Inputs and results'!$C$21+1),'2. Inputs and results'!$C$79*(W52)," ")</f>
        <v xml:space="preserve"> </v>
      </c>
      <c r="Y53" s="4">
        <f t="shared" si="2"/>
        <v>0</v>
      </c>
      <c r="Z53" s="4" t="e">
        <f>IF(A53&lt;('2. Inputs and results'!$C$21+1),Z52+((C53-$V$6+Y53)/((1+$P$2)^A53)),NA())</f>
        <v>#N/A</v>
      </c>
      <c r="AA53" s="4" t="str">
        <f>IF(A53&lt;('2. Inputs and results'!$C$21+1),AA52+G53+I53+H53+T53-$V$6," ")</f>
        <v xml:space="preserve"> </v>
      </c>
      <c r="AB53" s="20" t="e">
        <f>IF(A53&lt;('2. Inputs and results'!$C$21+1),AA53/L53,NA())</f>
        <v>#N/A</v>
      </c>
      <c r="AC53" s="29" t="str">
        <f>IF(A53&lt;('2. Inputs and results'!$C$21+1),AC52+C53+Y53-$V$6," ")</f>
        <v xml:space="preserve"> </v>
      </c>
      <c r="AD53" s="20" t="e">
        <f>IF(A53&lt;('2. Inputs and results'!$C$21+1),AC53/L53,NA())</f>
        <v>#N/A</v>
      </c>
      <c r="AE53" t="str">
        <f>IF(A53&lt;('2. Inputs and results'!$C$21+1),-'2. Inputs and results'!$C$121*A53," ")</f>
        <v xml:space="preserve"> </v>
      </c>
      <c r="AF53" t="e">
        <f>IF(A53&lt;('2. Inputs and results'!$C$21+1),AE53/1000,NA())</f>
        <v>#N/A</v>
      </c>
    </row>
    <row r="54" spans="1:32" x14ac:dyDescent="0.25">
      <c r="A54">
        <f t="shared" si="0"/>
        <v>49</v>
      </c>
      <c r="B54" t="str">
        <f>IF(A54&lt;('2. Inputs and results'!$C$21+1),A54," ")</f>
        <v xml:space="preserve"> </v>
      </c>
      <c r="C54" s="4" t="str">
        <f>IF(A54&lt;('2. Inputs and results'!$C$21+1),'2. Inputs and results'!$C$99+'2. Inputs and results'!$C$101," ")</f>
        <v xml:space="preserve"> </v>
      </c>
      <c r="D54" s="4" t="e">
        <f>IF(A54&lt;('2. Inputs and results'!$C$21+1),D53+C54,NA())</f>
        <v>#N/A</v>
      </c>
      <c r="E54" s="4" t="str">
        <f>IF(A54&lt;('2. Inputs and results'!$C$21+1),C54/((1+$P$2)^A54)," ")</f>
        <v xml:space="preserve"> </v>
      </c>
      <c r="F54" s="4" t="str">
        <f>IF(B54&lt;('2. Inputs and results'!$C$21+1),F53+E54," ")</f>
        <v xml:space="preserve"> </v>
      </c>
      <c r="G54" s="4" t="str">
        <f>IF(A54&lt;('2. Inputs and results'!$C$21+1),G53*(1+'2. Inputs and results'!$C$46)," ")</f>
        <v xml:space="preserve"> </v>
      </c>
      <c r="H54" s="4" t="str">
        <f>IF(A54&lt;('2. Inputs and results'!$C$21+1),H53*(1+'2. Inputs and results'!$C$58)," ")</f>
        <v xml:space="preserve"> </v>
      </c>
      <c r="I54" s="4" t="str">
        <f>IF(A54&lt;('2. Inputs and results'!$C$21+1),I53*(1+'2. Inputs and results'!$C$34)," ")</f>
        <v xml:space="preserve"> </v>
      </c>
      <c r="J54" s="4" t="str">
        <f>IF(A54&lt;('2. Inputs and results'!$C$21+1),J53*(1+'2. Inputs and results'!$C$68)," ")</f>
        <v xml:space="preserve"> </v>
      </c>
      <c r="K54" s="4" t="e">
        <f>IF(A54&lt;('2. Inputs and results'!$C$21+1),K53+(G54+I54+H54+J54),NA())</f>
        <v>#N/A</v>
      </c>
      <c r="L54" s="4" t="e">
        <f>IF(A54&lt;('2. Inputs and results'!$C$21+1),L53,NA())</f>
        <v>#N/A</v>
      </c>
      <c r="M54" s="4" t="str">
        <f>IF(A54&lt;('2. Inputs and results'!$C$21+1),'2. Inputs and results'!$C$75*'2. Inputs and results'!$C$73," ")</f>
        <v xml:space="preserve"> </v>
      </c>
      <c r="N54" s="4" t="str">
        <f>IF(A54&lt;('2. Inputs and results'!$C$21+1),M54/((1+$P$2)^A54)," ")</f>
        <v xml:space="preserve"> </v>
      </c>
      <c r="O54" s="4" t="str">
        <f>IF(A54&lt;('2. Inputs and results'!$C$21+1),'2. Inputs and results'!$C$73*'2. Inputs and results'!$C$75+O53," ")</f>
        <v xml:space="preserve"> </v>
      </c>
      <c r="P54" s="4" t="str">
        <f>IF(A54&lt;('2. Inputs and results'!$C$21+1),(G54+I54+H54+J54)/((1+$P$2)^A54)," ")</f>
        <v xml:space="preserve"> </v>
      </c>
      <c r="Q54" s="4" t="str">
        <f>IF(A54&lt;('2. Inputs and results'!$C$21+1),Q53+P54," ")</f>
        <v xml:space="preserve"> </v>
      </c>
      <c r="R54" s="4" t="e">
        <f>IF(A54&lt;('2. Inputs and results'!$C$21+1),R53+G54+I54+H54+J54+T54-$V$6,NA())</f>
        <v>#N/A</v>
      </c>
      <c r="S54" s="4" t="str">
        <f>IF(A54&lt;('2. Inputs and results'!$C$21+1),'2. Inputs and results'!$C$79*(R53)," ")</f>
        <v xml:space="preserve"> </v>
      </c>
      <c r="T54" s="4">
        <f t="shared" si="1"/>
        <v>0</v>
      </c>
      <c r="U54" s="4" t="e">
        <f>IF(A54&lt;('2. Inputs and results'!$C$21+1),U53+((G54+I54+H54+J54-$V$6+T54)/((1+$P$2)^A54)),NA())</f>
        <v>#N/A</v>
      </c>
      <c r="V54" s="4" t="str">
        <f>IF(A54&lt;('2. Inputs and results'!$C$21+1),V53+('2. Inputs and results'!$C$75*'2. Inputs and results'!$C$73)," ")</f>
        <v xml:space="preserve"> </v>
      </c>
      <c r="W54" s="4" t="e">
        <f>IF(A54&lt;('2. Inputs and results'!$C$21+1),W53+C54+Y54-$V$6,NA())</f>
        <v>#N/A</v>
      </c>
      <c r="X54" s="4" t="str">
        <f>IF(A54&lt;('2. Inputs and results'!$C$21+1),'2. Inputs and results'!$C$79*(W53)," ")</f>
        <v xml:space="preserve"> </v>
      </c>
      <c r="Y54" s="4">
        <f t="shared" si="2"/>
        <v>0</v>
      </c>
      <c r="Z54" s="4" t="e">
        <f>IF(A54&lt;('2. Inputs and results'!$C$21+1),Z53+((C54-$V$6+Y54)/((1+$P$2)^A54)),NA())</f>
        <v>#N/A</v>
      </c>
      <c r="AA54" s="4" t="str">
        <f>IF(A54&lt;('2. Inputs and results'!$C$21+1),AA53+G54+I54+H54+T54-$V$6," ")</f>
        <v xml:space="preserve"> </v>
      </c>
      <c r="AB54" s="20" t="e">
        <f>IF(A54&lt;('2. Inputs and results'!$C$21+1),AA54/L54,NA())</f>
        <v>#N/A</v>
      </c>
      <c r="AC54" s="29" t="str">
        <f>IF(A54&lt;('2. Inputs and results'!$C$21+1),AC53+C54+Y54-$V$6," ")</f>
        <v xml:space="preserve"> </v>
      </c>
      <c r="AD54" s="20" t="e">
        <f>IF(A54&lt;('2. Inputs and results'!$C$21+1),AC54/L54,NA())</f>
        <v>#N/A</v>
      </c>
      <c r="AE54" t="str">
        <f>IF(A54&lt;('2. Inputs and results'!$C$21+1),-'2. Inputs and results'!$C$121*A54," ")</f>
        <v xml:space="preserve"> </v>
      </c>
      <c r="AF54" t="e">
        <f>IF(A54&lt;('2. Inputs and results'!$C$21+1),AE54/1000,NA())</f>
        <v>#N/A</v>
      </c>
    </row>
    <row r="55" spans="1:32" x14ac:dyDescent="0.25">
      <c r="A55">
        <f t="shared" si="0"/>
        <v>50</v>
      </c>
      <c r="B55" t="str">
        <f>IF(A55&lt;('2. Inputs and results'!$C$21+1),A55," ")</f>
        <v xml:space="preserve"> </v>
      </c>
      <c r="C55" s="4" t="str">
        <f>IF(A55&lt;('2. Inputs and results'!$C$21+1),'2. Inputs and results'!$C$99+'2. Inputs and results'!$C$101," ")</f>
        <v xml:space="preserve"> </v>
      </c>
      <c r="D55" s="4" t="e">
        <f>IF(A55&lt;('2. Inputs and results'!$C$21+1),D54+C55,NA())</f>
        <v>#N/A</v>
      </c>
      <c r="E55" s="4" t="str">
        <f>IF(A55&lt;('2. Inputs and results'!$C$21+1),C55/((1+$P$2)^A55)," ")</f>
        <v xml:space="preserve"> </v>
      </c>
      <c r="F55" s="4" t="str">
        <f>IF(B55&lt;('2. Inputs and results'!$C$21+1),F54+E55," ")</f>
        <v xml:space="preserve"> </v>
      </c>
      <c r="G55" s="4" t="str">
        <f>IF(A55&lt;('2. Inputs and results'!$C$21+1),G54*(1+'2. Inputs and results'!$C$46)," ")</f>
        <v xml:space="preserve"> </v>
      </c>
      <c r="H55" s="4" t="str">
        <f>IF(A55&lt;('2. Inputs and results'!$C$21+1),H54*(1+'2. Inputs and results'!$C$58)," ")</f>
        <v xml:space="preserve"> </v>
      </c>
      <c r="I55" s="4" t="str">
        <f>IF(A55&lt;('2. Inputs and results'!$C$21+1),I54*(1+'2. Inputs and results'!$C$34)," ")</f>
        <v xml:space="preserve"> </v>
      </c>
      <c r="J55" s="4" t="str">
        <f>IF(A55&lt;('2. Inputs and results'!$C$21+1),J54*(1+'2. Inputs and results'!$C$68)," ")</f>
        <v xml:space="preserve"> </v>
      </c>
      <c r="K55" s="4" t="e">
        <f>IF(A55&lt;('2. Inputs and results'!$C$21+1),K54+(G55+I55+H55+J55),NA())</f>
        <v>#N/A</v>
      </c>
      <c r="L55" s="4" t="e">
        <f>IF(A55&lt;('2. Inputs and results'!$C$21+1),L54,NA())</f>
        <v>#N/A</v>
      </c>
      <c r="M55" s="4" t="str">
        <f>IF(A55&lt;('2. Inputs and results'!$C$21+1),'2. Inputs and results'!$C$75*'2. Inputs and results'!$C$73," ")</f>
        <v xml:space="preserve"> </v>
      </c>
      <c r="N55" s="4" t="str">
        <f>IF(A55&lt;('2. Inputs and results'!$C$21+1),M55/((1+$P$2)^A55)," ")</f>
        <v xml:space="preserve"> </v>
      </c>
      <c r="O55" s="4" t="str">
        <f>IF(A55&lt;('2. Inputs and results'!$C$21+1),'2. Inputs and results'!$C$73*'2. Inputs and results'!$C$75+O54," ")</f>
        <v xml:space="preserve"> </v>
      </c>
      <c r="P55" s="4" t="str">
        <f>IF(A55&lt;('2. Inputs and results'!$C$21+1),(G55+I55+H55+J55)/((1+$P$2)^A55)," ")</f>
        <v xml:space="preserve"> </v>
      </c>
      <c r="Q55" s="4" t="str">
        <f>IF(A55&lt;('2. Inputs and results'!$C$21+1),Q54+P55," ")</f>
        <v xml:space="preserve"> </v>
      </c>
      <c r="R55" s="4" t="e">
        <f>IF(A55&lt;('2. Inputs and results'!$C$21+1),R54+G55+I55+H55+J55+T55-$V$6,NA())</f>
        <v>#N/A</v>
      </c>
      <c r="S55" s="4" t="str">
        <f>IF(A55&lt;('2. Inputs and results'!$C$21+1),'2. Inputs and results'!$C$79*(R54)," ")</f>
        <v xml:space="preserve"> </v>
      </c>
      <c r="T55" s="4">
        <f t="shared" si="1"/>
        <v>0</v>
      </c>
      <c r="U55" s="4" t="e">
        <f>IF(A55&lt;('2. Inputs and results'!$C$21+1),U54+((G55+I55+H55+J55-$V$6+T55)/((1+$P$2)^A55)),NA())</f>
        <v>#N/A</v>
      </c>
      <c r="V55" s="4" t="str">
        <f>IF(A55&lt;('2. Inputs and results'!$C$21+1),V54+('2. Inputs and results'!$C$75*'2. Inputs and results'!$C$73)," ")</f>
        <v xml:space="preserve"> </v>
      </c>
      <c r="W55" s="4" t="e">
        <f>IF(A55&lt;('2. Inputs and results'!$C$21+1),W54+C55+Y55-$V$6,NA())</f>
        <v>#N/A</v>
      </c>
      <c r="X55" s="4" t="str">
        <f>IF(A55&lt;('2. Inputs and results'!$C$21+1),'2. Inputs and results'!$C$79*(W54)," ")</f>
        <v xml:space="preserve"> </v>
      </c>
      <c r="Y55" s="4">
        <f t="shared" si="2"/>
        <v>0</v>
      </c>
      <c r="Z55" s="4" t="e">
        <f>IF(A55&lt;('2. Inputs and results'!$C$21+1),Z54+((C55-$V$6+Y55)/((1+$P$2)^A55)),NA())</f>
        <v>#N/A</v>
      </c>
      <c r="AA55" s="4" t="str">
        <f>IF(A55&lt;('2. Inputs and results'!$C$21+1),AA54+G55+I55+H55+T55-$V$6," ")</f>
        <v xml:space="preserve"> </v>
      </c>
      <c r="AB55" s="20" t="e">
        <f>IF(A55&lt;('2. Inputs and results'!$C$21+1),AA55/L55,NA())</f>
        <v>#N/A</v>
      </c>
      <c r="AC55" s="29" t="str">
        <f>IF(A55&lt;('2. Inputs and results'!$C$21+1),AC54+C55+Y55-$V$6," ")</f>
        <v xml:space="preserve"> </v>
      </c>
      <c r="AD55" s="20" t="e">
        <f>IF(A55&lt;('2. Inputs and results'!$C$21+1),AC55/L55,NA())</f>
        <v>#N/A</v>
      </c>
      <c r="AE55" t="str">
        <f>IF(A55&lt;('2. Inputs and results'!$C$21+1),-'2. Inputs and results'!$C$121*A55," ")</f>
        <v xml:space="preserve"> </v>
      </c>
      <c r="AF55" t="e">
        <f>IF(A55&lt;('2. Inputs and results'!$C$21+1),AE55/1000,NA())</f>
        <v>#N/A</v>
      </c>
    </row>
    <row r="56" spans="1:32" x14ac:dyDescent="0.25">
      <c r="G56" s="4"/>
      <c r="H56" s="4"/>
      <c r="I56" s="4"/>
      <c r="J56" s="4"/>
      <c r="R56" s="4"/>
    </row>
  </sheetData>
  <sheetProtection sheet="1" objects="1" scenarios="1"/>
  <conditionalFormatting sqref="D6:D55">
    <cfRule type="containsText" dxfId="2" priority="3" operator="containsText" text="#PUUTTUU!">
      <formula>NOT(ISERROR(SEARCH("#PUUTTUU!",D6)))</formula>
    </cfRule>
  </conditionalFormatting>
  <conditionalFormatting sqref="A5:AA6 R56 D8:F55 D7:T7 A7:C55 G8:J56 K8:T55 U7:AA55">
    <cfRule type="containsErrors" dxfId="1" priority="2">
      <formula>ISERROR(A5)</formula>
    </cfRule>
  </conditionalFormatting>
  <conditionalFormatting sqref="A5:AF6 R56 D8:F55 D7:T7 A7:C55 G8:J56 K8:T55 U7:AF55">
    <cfRule type="containsErrors" dxfId="0" priority="1">
      <formula>ISERROR(A5)</formula>
    </cfRule>
  </conditionalFormatting>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vt:i4>
      </vt:variant>
      <vt:variant>
        <vt:lpstr>Nimetyt alueet</vt:lpstr>
      </vt:variant>
      <vt:variant>
        <vt:i4>3</vt:i4>
      </vt:variant>
    </vt:vector>
  </HeadingPairs>
  <TitlesOfParts>
    <vt:vector size="21" baseType="lpstr">
      <vt:lpstr>Decrease energy and costs</vt:lpstr>
      <vt:lpstr>1. Guidance for using tool</vt:lpstr>
      <vt:lpstr>2. Inputs and results</vt:lpstr>
      <vt:lpstr>Ventilation system</vt:lpstr>
      <vt:lpstr>Cooling system</vt:lpstr>
      <vt:lpstr>Type of building</vt:lpstr>
      <vt:lpstr>3. Package of Charts</vt:lpstr>
      <vt:lpstr>4. Cash flow </vt:lpstr>
      <vt:lpstr>5. NPV</vt:lpstr>
      <vt:lpstr>5. Return on investment</vt:lpstr>
      <vt:lpstr>6. Pay back time</vt:lpstr>
      <vt:lpstr>7. Change of CO2 emissions</vt:lpstr>
      <vt:lpstr>Change log (hidden)</vt:lpstr>
      <vt:lpstr>Heating system (hidden)</vt:lpstr>
      <vt:lpstr>Solution 1, (hidden)</vt:lpstr>
      <vt:lpstr>Solution  2, (hidden)</vt:lpstr>
      <vt:lpstr>Solution 1, (hidden) (2)</vt:lpstr>
      <vt:lpstr>Solution  2, (hidden) (2)</vt:lpstr>
      <vt:lpstr>'1. Guidance for using tool'!Tulostusalue</vt:lpstr>
      <vt:lpstr>'2. Inputs and results'!Tulostusalue</vt:lpstr>
      <vt:lpstr>'3. Package of Charts'!Tulostusalue</vt:lpstr>
    </vt:vector>
  </TitlesOfParts>
  <Company>Saimaan talous ja tieto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Nyholm Tanja</dc:creator>
  <cp:lastModifiedBy>Nyholm Tanja</cp:lastModifiedBy>
  <cp:lastPrinted>2020-09-10T05:16:37Z</cp:lastPrinted>
  <dcterms:created xsi:type="dcterms:W3CDTF">2018-07-02T09:44:54Z</dcterms:created>
  <dcterms:modified xsi:type="dcterms:W3CDTF">2020-09-10T05:16:48Z</dcterms:modified>
</cp:coreProperties>
</file>